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 firstSheet="15" activeTab="21"/>
  </bookViews>
  <sheets>
    <sheet name="Начало" sheetId="4" r:id="rId1"/>
    <sheet name="Зарплата" sheetId="2" r:id="rId2"/>
    <sheet name="Витамины" sheetId="3" r:id="rId3"/>
    <sheet name="Конфеты" sheetId="1" r:id="rId4"/>
    <sheet name="Диаграмма по конфетам" sheetId="25" r:id="rId5"/>
    <sheet name="Сведения о документах" sheetId="5" r:id="rId6"/>
    <sheet name="Штатное раписание" sheetId="6" r:id="rId7"/>
    <sheet name="Расписание" sheetId="7" r:id="rId8"/>
    <sheet name="Пятёрочка" sheetId="15" r:id="rId9"/>
    <sheet name="Ведомость учёта поставок" sheetId="16" r:id="rId10"/>
    <sheet name="Прейскурант" sheetId="17" r:id="rId11"/>
    <sheet name="Выручка в валюте" sheetId="8" r:id="rId12"/>
    <sheet name="Таблица умножения" sheetId="9" r:id="rId13"/>
    <sheet name="Диаграмма по таблице" sheetId="23" r:id="rId14"/>
    <sheet name="Потребность" sheetId="10" r:id="rId15"/>
    <sheet name="Фактически" sheetId="13" r:id="rId16"/>
    <sheet name="Разница" sheetId="14" r:id="rId17"/>
    <sheet name="Табель" sheetId="18" r:id="rId18"/>
    <sheet name="Оплата за обучение" sheetId="19" r:id="rId19"/>
    <sheet name="Библиотека" sheetId="20" r:id="rId20"/>
    <sheet name="Статистика" sheetId="21" r:id="rId21"/>
    <sheet name="Постановка задачи" sheetId="22" r:id="rId22"/>
  </sheets>
  <definedNames>
    <definedName name="_xlnm._FilterDatabase" localSheetId="19" hidden="1">Библиотека!$A$1:$E$17</definedName>
    <definedName name="_xlnm._FilterDatabase" localSheetId="20" hidden="1">Статистика!$A$1:$E$8</definedName>
  </definedNames>
  <calcPr calcId="124519"/>
</workbook>
</file>

<file path=xl/calcChain.xml><?xml version="1.0" encoding="utf-8"?>
<calcChain xmlns="http://schemas.openxmlformats.org/spreadsheetml/2006/main">
  <c r="D13" i="22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4"/>
  <c r="F4" s="1"/>
  <c r="D3"/>
  <c r="F3" s="1"/>
  <c r="E4" i="21"/>
  <c r="E2"/>
  <c r="E8"/>
  <c r="E5"/>
  <c r="E7"/>
  <c r="E3"/>
  <c r="E6"/>
  <c r="D12" i="20"/>
  <c r="D15" s="1"/>
  <c r="E8" i="19"/>
  <c r="E9"/>
  <c r="E10"/>
  <c r="E7"/>
  <c r="D8"/>
  <c r="D9"/>
  <c r="D10"/>
  <c r="D7"/>
  <c r="C8"/>
  <c r="C9"/>
  <c r="C10"/>
  <c r="C7"/>
  <c r="B7"/>
  <c r="S4" i="18"/>
  <c r="S5"/>
  <c r="S6"/>
  <c r="S3"/>
  <c r="B10" i="19"/>
  <c r="B9"/>
  <c r="B8"/>
  <c r="A8"/>
  <c r="A9"/>
  <c r="A10"/>
  <c r="A7"/>
  <c r="Q3" i="18"/>
  <c r="D11" i="17"/>
  <c r="C11"/>
  <c r="E10"/>
  <c r="E9"/>
  <c r="E8"/>
  <c r="E7"/>
  <c r="E6"/>
  <c r="E5"/>
  <c r="E4"/>
  <c r="E3"/>
  <c r="E11" s="1"/>
  <c r="B4" i="14"/>
  <c r="B5" i="13"/>
  <c r="B6"/>
  <c r="B7"/>
  <c r="B8"/>
  <c r="B9"/>
  <c r="B10"/>
  <c r="B11"/>
  <c r="B12"/>
  <c r="B13"/>
  <c r="B14"/>
  <c r="B15"/>
  <c r="B4"/>
  <c r="D8" i="16"/>
  <c r="C8"/>
  <c r="E7"/>
  <c r="E6"/>
  <c r="E5"/>
  <c r="E4"/>
  <c r="E8" i="15"/>
  <c r="D8"/>
  <c r="C8"/>
  <c r="B8"/>
  <c r="G7"/>
  <c r="F7"/>
  <c r="G6"/>
  <c r="F6"/>
  <c r="G5"/>
  <c r="F5"/>
  <c r="G4"/>
  <c r="G8" s="1"/>
  <c r="F4"/>
  <c r="F8" s="1"/>
  <c r="H6" i="22" l="1"/>
  <c r="H10"/>
  <c r="E3"/>
  <c r="G3" s="1"/>
  <c r="E4"/>
  <c r="G4" s="1"/>
  <c r="E5"/>
  <c r="G5" s="1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F3" i="17"/>
  <c r="F4"/>
  <c r="G4" s="1"/>
  <c r="H4" s="1"/>
  <c r="F5"/>
  <c r="G5" s="1"/>
  <c r="H5" s="1"/>
  <c r="F6"/>
  <c r="G6" s="1"/>
  <c r="H6" s="1"/>
  <c r="F7"/>
  <c r="G7" s="1"/>
  <c r="H7" s="1"/>
  <c r="F8"/>
  <c r="G8" s="1"/>
  <c r="H8" s="1"/>
  <c r="F9"/>
  <c r="G9" s="1"/>
  <c r="H9" s="1"/>
  <c r="F10"/>
  <c r="G10" s="1"/>
  <c r="H10" s="1"/>
  <c r="G3"/>
  <c r="H3" s="1"/>
  <c r="H11" s="1"/>
  <c r="E8" i="16"/>
  <c r="I11" i="22" l="1"/>
  <c r="I3"/>
  <c r="H11"/>
  <c r="H7"/>
  <c r="I7" s="1"/>
  <c r="H3"/>
  <c r="I10"/>
  <c r="I8"/>
  <c r="I6"/>
  <c r="H13"/>
  <c r="I13" s="1"/>
  <c r="H9"/>
  <c r="I9" s="1"/>
  <c r="H5"/>
  <c r="I5" s="1"/>
  <c r="H12"/>
  <c r="I12" s="1"/>
  <c r="H8"/>
  <c r="H4"/>
  <c r="I4" s="1"/>
  <c r="G11" i="17"/>
  <c r="F11"/>
  <c r="J4" i="22" l="1"/>
  <c r="K4"/>
  <c r="J12"/>
  <c r="K12"/>
  <c r="J9"/>
  <c r="K9"/>
  <c r="J7"/>
  <c r="K7"/>
  <c r="J5"/>
  <c r="K5"/>
  <c r="J13"/>
  <c r="K13"/>
  <c r="J8"/>
  <c r="K8"/>
  <c r="J3"/>
  <c r="K3"/>
  <c r="J11"/>
  <c r="K11"/>
  <c r="J6"/>
  <c r="K6"/>
  <c r="J10"/>
  <c r="K10"/>
  <c r="R4" i="18"/>
  <c r="R5"/>
  <c r="R6"/>
  <c r="Q4"/>
  <c r="Q5"/>
  <c r="Q6"/>
  <c r="F10" i="19"/>
  <c r="F9"/>
  <c r="F8"/>
  <c r="D11"/>
  <c r="B11"/>
  <c r="R3" i="18"/>
  <c r="D4" i="13"/>
  <c r="C5"/>
  <c r="C6"/>
  <c r="C7"/>
  <c r="C8"/>
  <c r="C9"/>
  <c r="C10"/>
  <c r="C11"/>
  <c r="C12"/>
  <c r="C13"/>
  <c r="C14"/>
  <c r="C15"/>
  <c r="C4"/>
  <c r="B5" i="14"/>
  <c r="B6"/>
  <c r="B7"/>
  <c r="B8"/>
  <c r="B9"/>
  <c r="B10"/>
  <c r="B11"/>
  <c r="B12"/>
  <c r="B13"/>
  <c r="B14"/>
  <c r="B15"/>
  <c r="C6"/>
  <c r="C7"/>
  <c r="C8"/>
  <c r="C9"/>
  <c r="C10"/>
  <c r="C11"/>
  <c r="C12"/>
  <c r="C13"/>
  <c r="C14"/>
  <c r="C15"/>
  <c r="C5"/>
  <c r="I3" i="9"/>
  <c r="I4"/>
  <c r="I5"/>
  <c r="I6"/>
  <c r="I7"/>
  <c r="I8"/>
  <c r="I9"/>
  <c r="H3"/>
  <c r="H4"/>
  <c r="H5"/>
  <c r="H6"/>
  <c r="H7"/>
  <c r="H8"/>
  <c r="H9"/>
  <c r="G3"/>
  <c r="G4"/>
  <c r="G5"/>
  <c r="G6"/>
  <c r="G7"/>
  <c r="G8"/>
  <c r="G9"/>
  <c r="F3"/>
  <c r="F4"/>
  <c r="F5"/>
  <c r="F6"/>
  <c r="F7"/>
  <c r="F8"/>
  <c r="F9"/>
  <c r="E3"/>
  <c r="E4"/>
  <c r="E5"/>
  <c r="E6"/>
  <c r="E7"/>
  <c r="E8"/>
  <c r="E9"/>
  <c r="D3"/>
  <c r="D4"/>
  <c r="D5"/>
  <c r="D6"/>
  <c r="D7"/>
  <c r="D8"/>
  <c r="D9"/>
  <c r="I2"/>
  <c r="H2"/>
  <c r="G2"/>
  <c r="F2"/>
  <c r="E2"/>
  <c r="D2"/>
  <c r="B3"/>
  <c r="C3"/>
  <c r="B4"/>
  <c r="C4"/>
  <c r="B5"/>
  <c r="C5"/>
  <c r="B6"/>
  <c r="C6"/>
  <c r="B7"/>
  <c r="C7"/>
  <c r="B8"/>
  <c r="C8"/>
  <c r="B9"/>
  <c r="C9"/>
  <c r="C2"/>
  <c r="E15" i="10"/>
  <c r="E14"/>
  <c r="E13"/>
  <c r="E12"/>
  <c r="E11"/>
  <c r="E10"/>
  <c r="E9"/>
  <c r="E8"/>
  <c r="E7"/>
  <c r="E6"/>
  <c r="E5"/>
  <c r="E16" s="1"/>
  <c r="E6" i="13"/>
  <c r="D6" i="14" s="1"/>
  <c r="E6" s="1"/>
  <c r="E7" i="13"/>
  <c r="D7" i="14" s="1"/>
  <c r="E7" s="1"/>
  <c r="E8" i="13"/>
  <c r="D8" i="14" s="1"/>
  <c r="E8" s="1"/>
  <c r="E9" i="13"/>
  <c r="D9" i="14" s="1"/>
  <c r="E9" s="1"/>
  <c r="E10" i="13"/>
  <c r="D10" i="14" s="1"/>
  <c r="E10" s="1"/>
  <c r="E11" i="13"/>
  <c r="D11" i="14" s="1"/>
  <c r="E11" s="1"/>
  <c r="E12" i="13"/>
  <c r="D12" i="14" s="1"/>
  <c r="E12" s="1"/>
  <c r="E13" i="13"/>
  <c r="D13" i="14" s="1"/>
  <c r="E13" s="1"/>
  <c r="E14" i="13"/>
  <c r="D14" i="14" s="1"/>
  <c r="E14" s="1"/>
  <c r="E15" i="13"/>
  <c r="D15" i="14" s="1"/>
  <c r="E15" s="1"/>
  <c r="E5" i="13"/>
  <c r="E16" s="1"/>
  <c r="B2" i="9"/>
  <c r="C8" i="8"/>
  <c r="D8"/>
  <c r="C4"/>
  <c r="D4"/>
  <c r="C5"/>
  <c r="D5"/>
  <c r="C6"/>
  <c r="D6"/>
  <c r="C7"/>
  <c r="D7"/>
  <c r="D3"/>
  <c r="C3"/>
  <c r="B8"/>
  <c r="D9" i="6"/>
  <c r="F9"/>
  <c r="F6"/>
  <c r="F7"/>
  <c r="F8"/>
  <c r="F5"/>
  <c r="E11" i="19" l="1"/>
  <c r="F7"/>
  <c r="C11"/>
  <c r="D5" i="14"/>
  <c r="E5" s="1"/>
  <c r="E16" s="1"/>
  <c r="D9" i="5" l="1"/>
  <c r="C9"/>
  <c r="B9"/>
  <c r="D6"/>
  <c r="D7"/>
  <c r="D8"/>
  <c r="D5"/>
  <c r="H5" i="1"/>
  <c r="H6"/>
  <c r="H7"/>
  <c r="H8"/>
  <c r="H9"/>
  <c r="H10"/>
  <c r="H4"/>
  <c r="G5"/>
  <c r="G6"/>
  <c r="G7"/>
  <c r="G8"/>
  <c r="G9"/>
  <c r="G10"/>
  <c r="G4"/>
  <c r="F5"/>
  <c r="F6"/>
  <c r="F7"/>
  <c r="F8"/>
  <c r="F9"/>
  <c r="F10"/>
  <c r="F4"/>
  <c r="F11" l="1"/>
  <c r="F8" i="4" l="1"/>
  <c r="E8"/>
  <c r="F7"/>
  <c r="E7"/>
  <c r="F6"/>
  <c r="E6"/>
  <c r="F5"/>
  <c r="E5"/>
  <c r="F4"/>
  <c r="E4"/>
  <c r="F3"/>
  <c r="E3"/>
  <c r="E9" s="1"/>
  <c r="F9" s="1"/>
  <c r="B8" i="2"/>
  <c r="C7"/>
  <c r="D7" s="1"/>
  <c r="C6"/>
  <c r="D5"/>
  <c r="C5"/>
  <c r="E5" s="1"/>
  <c r="C4"/>
  <c r="D3"/>
  <c r="C3"/>
  <c r="C8" s="1"/>
  <c r="B9" i="3"/>
  <c r="G8"/>
  <c r="F8"/>
  <c r="E8"/>
  <c r="G7"/>
  <c r="F7"/>
  <c r="E7"/>
  <c r="G6"/>
  <c r="F6"/>
  <c r="E6"/>
  <c r="G5"/>
  <c r="F5"/>
  <c r="E5"/>
  <c r="E9" s="1"/>
  <c r="F5" i="2" l="1"/>
  <c r="G5" s="1"/>
  <c r="E3"/>
  <c r="D4"/>
  <c r="D8" s="1"/>
  <c r="D6"/>
  <c r="E6" s="1"/>
  <c r="E7"/>
  <c r="G6" l="1"/>
  <c r="F6"/>
  <c r="F7"/>
  <c r="G7" s="1"/>
  <c r="E4"/>
  <c r="G3"/>
  <c r="F3"/>
  <c r="F4" l="1"/>
  <c r="G4" s="1"/>
  <c r="G8" s="1"/>
  <c r="E8"/>
  <c r="F8" l="1"/>
</calcChain>
</file>

<file path=xl/sharedStrings.xml><?xml version="1.0" encoding="utf-8"?>
<sst xmlns="http://schemas.openxmlformats.org/spreadsheetml/2006/main" count="371" uniqueCount="249">
  <si>
    <t>Выручка з 1 квартал</t>
  </si>
  <si>
    <t>Наименование</t>
  </si>
  <si>
    <t>Цена</t>
  </si>
  <si>
    <t>Количество</t>
  </si>
  <si>
    <t>Выручка</t>
  </si>
  <si>
    <t>январь</t>
  </si>
  <si>
    <t>февраль</t>
  </si>
  <si>
    <t>март</t>
  </si>
  <si>
    <t>Алёнка</t>
  </si>
  <si>
    <t>Вдохновение</t>
  </si>
  <si>
    <t>Севершенство</t>
  </si>
  <si>
    <t>Сударушка</t>
  </si>
  <si>
    <t>Путешествие</t>
  </si>
  <si>
    <t>Бабаевский</t>
  </si>
  <si>
    <t>Российский</t>
  </si>
  <si>
    <t>Содержание витаминов в плодах</t>
  </si>
  <si>
    <t>Витамины</t>
  </si>
  <si>
    <t>В 100 г</t>
  </si>
  <si>
    <t>В 1000г</t>
  </si>
  <si>
    <t>A</t>
  </si>
  <si>
    <r>
      <t>B</t>
    </r>
    <r>
      <rPr>
        <sz val="8"/>
        <color theme="1"/>
        <rFont val="Calibri"/>
        <family val="2"/>
        <charset val="204"/>
        <scheme val="minor"/>
      </rPr>
      <t>1</t>
    </r>
  </si>
  <si>
    <t>C</t>
  </si>
  <si>
    <t>Апельсины</t>
  </si>
  <si>
    <t>Абрикосы</t>
  </si>
  <si>
    <t>Сливы</t>
  </si>
  <si>
    <t>Яблоки</t>
  </si>
  <si>
    <t>ИТОГО</t>
  </si>
  <si>
    <t>Зарплата</t>
  </si>
  <si>
    <t>Фамилия</t>
  </si>
  <si>
    <t>Оклад</t>
  </si>
  <si>
    <t>Премия 25%</t>
  </si>
  <si>
    <t>Уральские 15%</t>
  </si>
  <si>
    <t>Начисление</t>
  </si>
  <si>
    <t>Налог 13%</t>
  </si>
  <si>
    <t>Итого</t>
  </si>
  <si>
    <t>Иванов</t>
  </si>
  <si>
    <t>Петров</t>
  </si>
  <si>
    <t>Сидоров</t>
  </si>
  <si>
    <t>Васин</t>
  </si>
  <si>
    <t>Савельев</t>
  </si>
  <si>
    <t>Итого по кассе</t>
  </si>
  <si>
    <t>Перечень игрушек с суммой</t>
  </si>
  <si>
    <t>№ п/п</t>
  </si>
  <si>
    <t>Сумма</t>
  </si>
  <si>
    <t>Машина инерц.</t>
  </si>
  <si>
    <t>Лего</t>
  </si>
  <si>
    <t>Мяч</t>
  </si>
  <si>
    <t>Меч</t>
  </si>
  <si>
    <t>Фигурка героя</t>
  </si>
  <si>
    <t>Пистолет</t>
  </si>
  <si>
    <t>Итого за квартал</t>
  </si>
  <si>
    <t>Сведения об использовании документов, поставленных на контроль за период 2003 - 2004</t>
  </si>
  <si>
    <t>Ф.И.О. исполнителей</t>
  </si>
  <si>
    <t>Всего документов</t>
  </si>
  <si>
    <t>Из них</t>
  </si>
  <si>
    <t>исполнено в срок</t>
  </si>
  <si>
    <t>исполнено с опозданием</t>
  </si>
  <si>
    <t>Причина неисполнения</t>
  </si>
  <si>
    <t>Андреева</t>
  </si>
  <si>
    <t>Байдина</t>
  </si>
  <si>
    <t>Петрова</t>
  </si>
  <si>
    <t>Сидорова</t>
  </si>
  <si>
    <t>Секретарь-референт</t>
  </si>
  <si>
    <t>_______________</t>
  </si>
  <si>
    <t>Кобзева Елена Игоревна</t>
  </si>
  <si>
    <t>Подпись</t>
  </si>
  <si>
    <t>-</t>
  </si>
  <si>
    <t>по болезни</t>
  </si>
  <si>
    <t>отказ технических средств</t>
  </si>
  <si>
    <t>Штатное расписание</t>
  </si>
  <si>
    <t>Структурное подразделение</t>
  </si>
  <si>
    <t>Профессия (должность)</t>
  </si>
  <si>
    <t>Количество штатных единиц</t>
  </si>
  <si>
    <t>Оклад (тарифная ставка), руб.</t>
  </si>
  <si>
    <t>Месячный фонд заработной платы, руб.</t>
  </si>
  <si>
    <t>код</t>
  </si>
  <si>
    <t>Администрация</t>
  </si>
  <si>
    <t>Склад</t>
  </si>
  <si>
    <t>_____________</t>
  </si>
  <si>
    <t>___________</t>
  </si>
  <si>
    <t>___________________________</t>
  </si>
  <si>
    <t>должность</t>
  </si>
  <si>
    <t>подпись</t>
  </si>
  <si>
    <t>расшифровка подписи</t>
  </si>
  <si>
    <t>01</t>
  </si>
  <si>
    <t>директор</t>
  </si>
  <si>
    <t>заместитель</t>
  </si>
  <si>
    <t>секретарь</t>
  </si>
  <si>
    <t>заведующий</t>
  </si>
  <si>
    <t>Группа № 74 - 2010</t>
  </si>
  <si>
    <t>Дата</t>
  </si>
  <si>
    <t>Дни и недели</t>
  </si>
  <si>
    <t>Группа № 75 - 2010</t>
  </si>
  <si>
    <t>Секретарь - референт</t>
  </si>
  <si>
    <t>Пользователь ПЭВМ со знанием 1С:Пр.8.0; Зи УП</t>
  </si>
  <si>
    <t>Часы</t>
  </si>
  <si>
    <t>Предмет</t>
  </si>
  <si>
    <t>Нчало занятий</t>
  </si>
  <si>
    <t>Начало занятий</t>
  </si>
  <si>
    <t>Информатика</t>
  </si>
  <si>
    <t>Заболотная</t>
  </si>
  <si>
    <t>Пользователь ПЭВМ</t>
  </si>
  <si>
    <t>Шарапова</t>
  </si>
  <si>
    <t>Понедельник</t>
  </si>
  <si>
    <r>
      <t xml:space="preserve">17 </t>
    </r>
    <r>
      <rPr>
        <sz val="8"/>
        <color theme="1"/>
        <rFont val="Calibri"/>
        <family val="2"/>
        <charset val="204"/>
      </rPr>
      <t>00</t>
    </r>
  </si>
  <si>
    <t>Дневная выручка в валютном исчислении</t>
  </si>
  <si>
    <t>Магазины</t>
  </si>
  <si>
    <t>Выручка в руб.</t>
  </si>
  <si>
    <t>Выручка в $ US</t>
  </si>
  <si>
    <t>Выручка в Евро</t>
  </si>
  <si>
    <t>Курс $</t>
  </si>
  <si>
    <t>Курс Евро</t>
  </si>
  <si>
    <t>Орион</t>
  </si>
  <si>
    <t>Ариэль</t>
  </si>
  <si>
    <t>Айсберг</t>
  </si>
  <si>
    <t>Аэлита</t>
  </si>
  <si>
    <t>Артур</t>
  </si>
  <si>
    <t>Потребность в канцтоварах на 1 квартал 2003 года</t>
  </si>
  <si>
    <t>ручки</t>
  </si>
  <si>
    <t>карандаши</t>
  </si>
  <si>
    <t>скрепки</t>
  </si>
  <si>
    <t>клей</t>
  </si>
  <si>
    <t>ножницы</t>
  </si>
  <si>
    <t>степлер</t>
  </si>
  <si>
    <t>скобы для степлера</t>
  </si>
  <si>
    <t>резинки</t>
  </si>
  <si>
    <t>бумага</t>
  </si>
  <si>
    <t>дырокол</t>
  </si>
  <si>
    <t>папки</t>
  </si>
  <si>
    <t>Фактически потрачено</t>
  </si>
  <si>
    <t>Разница по канцтоварам</t>
  </si>
  <si>
    <t>Потребность</t>
  </si>
  <si>
    <t>Фактически</t>
  </si>
  <si>
    <t>Разница</t>
  </si>
  <si>
    <t>Ф.И.О.</t>
  </si>
  <si>
    <t>больничных</t>
  </si>
  <si>
    <t>не посещал</t>
  </si>
  <si>
    <t>Андреев</t>
  </si>
  <si>
    <t>В</t>
  </si>
  <si>
    <t>б</t>
  </si>
  <si>
    <t>н</t>
  </si>
  <si>
    <t>Табель посещаемости</t>
  </si>
  <si>
    <t>рабочих дней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</si>
  <si>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</si>
  <si>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</si>
  <si>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</si>
  <si>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</si>
  <si>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количество рабочих дней</t>
  </si>
  <si>
    <t>Оплата за количество больничных дней</t>
  </si>
  <si>
    <t>Удержано за количество пропусков</t>
  </si>
  <si>
    <t>Итого к оплате</t>
  </si>
  <si>
    <t>Матрица</t>
  </si>
  <si>
    <t>Пятёрочка</t>
  </si>
  <si>
    <t>Тянучка</t>
  </si>
  <si>
    <t>Джем абрикосовый</t>
  </si>
  <si>
    <t>Печенье</t>
  </si>
  <si>
    <t>Шоколад</t>
  </si>
  <si>
    <t>"Пятёрочка"</t>
  </si>
  <si>
    <t>Шифр поставщика</t>
  </si>
  <si>
    <t>Сумма, тыс.руб.</t>
  </si>
  <si>
    <t>Дата оплаты</t>
  </si>
  <si>
    <t>Подлежащее оплате</t>
  </si>
  <si>
    <t>Фактически оплаченная</t>
  </si>
  <si>
    <t>Недоплата (переплата)</t>
  </si>
  <si>
    <t>"Восток"</t>
  </si>
  <si>
    <t>"Банан"</t>
  </si>
  <si>
    <t>"Утка"</t>
  </si>
  <si>
    <t>"Колобок"</t>
  </si>
  <si>
    <t>Итого:</t>
  </si>
  <si>
    <t>В е д о м о с т ь   у ч е т а   п о с т а в о к</t>
  </si>
  <si>
    <t>№</t>
  </si>
  <si>
    <t>Цена без НДС</t>
  </si>
  <si>
    <t>Кол-во</t>
  </si>
  <si>
    <t>НДС 18%</t>
  </si>
  <si>
    <t>Наценка 35%</t>
  </si>
  <si>
    <t>Розничная цена</t>
  </si>
  <si>
    <t>Платье детское</t>
  </si>
  <si>
    <t>Костюм женский</t>
  </si>
  <si>
    <t>Пальто мужское</t>
  </si>
  <si>
    <t>Шуба женская</t>
  </si>
  <si>
    <t>Шапка детская</t>
  </si>
  <si>
    <t>Брюки мужские</t>
  </si>
  <si>
    <t>Ботинки мужские</t>
  </si>
  <si>
    <t>Шорты мальчуковые</t>
  </si>
  <si>
    <t>П р е й с к у р а н т</t>
  </si>
  <si>
    <t>Автор</t>
  </si>
  <si>
    <t>Название</t>
  </si>
  <si>
    <t>Тип произведения</t>
  </si>
  <si>
    <t>Номер полки</t>
  </si>
  <si>
    <t>Булгаков</t>
  </si>
  <si>
    <t>Мастер и Маргарита</t>
  </si>
  <si>
    <t>Роман</t>
  </si>
  <si>
    <t>Бег</t>
  </si>
  <si>
    <t>Ефремов</t>
  </si>
  <si>
    <t>Лезвие бритвы</t>
  </si>
  <si>
    <t>Митчел</t>
  </si>
  <si>
    <t>Унесенные ветром</t>
  </si>
  <si>
    <t>Моппасан</t>
  </si>
  <si>
    <t>Милый друг</t>
  </si>
  <si>
    <t>Пушкин</t>
  </si>
  <si>
    <t>Капитанская дочь</t>
  </si>
  <si>
    <t>Повесть</t>
  </si>
  <si>
    <t>Выстрел</t>
  </si>
  <si>
    <t>Метель</t>
  </si>
  <si>
    <t>Сабатини</t>
  </si>
  <si>
    <t>Рыцарь таверны</t>
  </si>
  <si>
    <t>Санд</t>
  </si>
  <si>
    <t>Консуэло</t>
  </si>
  <si>
    <t>Толстой</t>
  </si>
  <si>
    <t>Кавказский пленник</t>
  </si>
  <si>
    <t>Война и мир</t>
  </si>
  <si>
    <t>Анна Каренина</t>
  </si>
  <si>
    <t>Чехов</t>
  </si>
  <si>
    <t>Степь</t>
  </si>
  <si>
    <t>Ян</t>
  </si>
  <si>
    <t>Чингиз-Хан</t>
  </si>
  <si>
    <t>Батый</t>
  </si>
  <si>
    <t>Пол</t>
  </si>
  <si>
    <t>Должность</t>
  </si>
  <si>
    <t>Отделение</t>
  </si>
  <si>
    <t>Дата рождения</t>
  </si>
  <si>
    <t>Афанасьев Игорь Владимироич</t>
  </si>
  <si>
    <t>муж</t>
  </si>
  <si>
    <t>сторож</t>
  </si>
  <si>
    <t>АХЧ</t>
  </si>
  <si>
    <t>Байдарова Анна Александровна</t>
  </si>
  <si>
    <t>жен</t>
  </si>
  <si>
    <t>врач</t>
  </si>
  <si>
    <t>5 педиатрическое</t>
  </si>
  <si>
    <t>Баишева Анна Степановна</t>
  </si>
  <si>
    <t>зав</t>
  </si>
  <si>
    <t>3 педиатрическое</t>
  </si>
  <si>
    <t>Ильина Клавдия Петровна</t>
  </si>
  <si>
    <t>Мавлетов Ринат Барыевич</t>
  </si>
  <si>
    <t>массажист</t>
  </si>
  <si>
    <t>Функц.</t>
  </si>
  <si>
    <t>Прошкина Инна Вячеславовна</t>
  </si>
  <si>
    <t>Зам.Гл.врач по АХЧ</t>
  </si>
  <si>
    <t>Степанов Павел Ильич</t>
  </si>
  <si>
    <t>ОСНОВАНИЕ</t>
  </si>
  <si>
    <t>ЧИСЛО</t>
  </si>
  <si>
    <t>LOG</t>
  </si>
  <si>
    <t>SIN(LOG)</t>
  </si>
  <si>
    <t>COS(LOG)</t>
  </si>
  <si>
    <t>TG=SIN/COS</t>
  </si>
  <si>
    <t>CTG=COS/SIN</t>
  </si>
  <si>
    <t>CTG*TG</t>
  </si>
  <si>
    <t>ЗНАЧЕНИЕ</t>
  </si>
  <si>
    <r>
      <t xml:space="preserve">9 </t>
    </r>
    <r>
      <rPr>
        <vertAlign val="superscript"/>
        <sz val="8"/>
        <color theme="1"/>
        <rFont val="Calibri"/>
        <family val="2"/>
        <charset val="204"/>
      </rPr>
      <t>30</t>
    </r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</si>
</sst>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28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1"/>
      <color rgb="FF00B050"/>
      <name val="Arial Narrow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499984740745262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 style="thin">
        <color auto="1"/>
      </bottom>
      <diagonal/>
    </border>
    <border>
      <left style="thin">
        <color auto="1"/>
      </left>
      <right style="medium">
        <color theme="0" tint="-0.499984740745262"/>
      </right>
      <top style="medium">
        <color theme="0" tint="-0.499984740745262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thin">
        <color auto="1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499984740745262"/>
      </bottom>
      <diagonal/>
    </border>
    <border>
      <left style="thin">
        <color auto="1"/>
      </left>
      <right style="medium">
        <color theme="0" tint="-0.499984740745262"/>
      </right>
      <top style="thin">
        <color auto="1"/>
      </top>
      <bottom style="medium">
        <color theme="0" tint="-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2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8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6" xfId="0" applyFont="1" applyBorder="1"/>
    <xf numFmtId="0" fontId="1" fillId="0" borderId="2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2" xfId="0" applyFont="1" applyBorder="1"/>
    <xf numFmtId="0" fontId="1" fillId="0" borderId="43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10" fillId="0" borderId="36" xfId="0" applyFont="1" applyFill="1" applyBorder="1"/>
    <xf numFmtId="0" fontId="10" fillId="0" borderId="44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3" fillId="0" borderId="11" xfId="0" applyFont="1" applyBorder="1" applyAlignment="1">
      <alignment horizontal="center"/>
    </xf>
    <xf numFmtId="4" fontId="13" fillId="0" borderId="12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/>
    <xf numFmtId="3" fontId="0" fillId="0" borderId="1" xfId="0" applyNumberForma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0" fillId="0" borderId="48" xfId="0" applyBorder="1"/>
    <xf numFmtId="0" fontId="0" fillId="0" borderId="49" xfId="0" applyBorder="1"/>
    <xf numFmtId="0" fontId="0" fillId="0" borderId="46" xfId="0" applyBorder="1"/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0" fillId="0" borderId="45" xfId="0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/>
    <xf numFmtId="0" fontId="0" fillId="0" borderId="45" xfId="0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32" xfId="0" applyFont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17" fillId="0" borderId="0" xfId="0" applyFont="1"/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55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/>
    </xf>
    <xf numFmtId="14" fontId="17" fillId="0" borderId="5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wrapText="1"/>
    </xf>
    <xf numFmtId="14" fontId="21" fillId="0" borderId="65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2" fontId="17" fillId="0" borderId="72" xfId="0" applyNumberFormat="1" applyFont="1" applyBorder="1" applyAlignment="1">
      <alignment horizontal="center" vertical="center"/>
    </xf>
    <xf numFmtId="2" fontId="17" fillId="0" borderId="71" xfId="0" applyNumberFormat="1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styles" Target="styles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Выручка за март</a:t>
            </a:r>
          </a:p>
        </c:rich>
      </c:tx>
      <c:layout/>
    </c:title>
    <c:view3D>
      <c:depthPercent val="100"/>
      <c:rAngAx val="1"/>
    </c:view3D>
    <c:floor>
      <c:spPr>
        <a:solidFill>
          <a:schemeClr val="bg2">
            <a:lumMod val="90000"/>
          </a:schemeClr>
        </a:solidFill>
      </c:spPr>
    </c:floor>
    <c:sideWall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sideWall>
    <c:backWall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backWall>
    <c:plotArea>
      <c:layout/>
      <c:bar3DChart>
        <c:barDir val="col"/>
        <c:grouping val="clustered"/>
        <c:ser>
          <c:idx val="0"/>
          <c:order val="0"/>
          <c:dPt>
            <c:idx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</c:spPr>
          </c:dPt>
          <c:dPt>
            <c:idx val="2"/>
            <c:spPr>
              <a:gradFill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0"/>
              </a:gradFill>
            </c:spPr>
          </c:dPt>
          <c:dLbls>
            <c:showVal val="1"/>
          </c:dLbls>
          <c:cat>
            <c:strRef>
              <c:f>Конфеты!$A$4:$A$10</c:f>
              <c:strCache>
                <c:ptCount val="7"/>
                <c:pt idx="0">
                  <c:v>Алёнка</c:v>
                </c:pt>
                <c:pt idx="1">
                  <c:v>Вдохновение</c:v>
                </c:pt>
                <c:pt idx="2">
                  <c:v>Севершенство</c:v>
                </c:pt>
                <c:pt idx="3">
                  <c:v>Сударушка</c:v>
                </c:pt>
                <c:pt idx="4">
                  <c:v>Путешествие</c:v>
                </c:pt>
                <c:pt idx="5">
                  <c:v>Бабаевский</c:v>
                </c:pt>
                <c:pt idx="6">
                  <c:v>Российский</c:v>
                </c:pt>
              </c:strCache>
            </c:strRef>
          </c:cat>
          <c:val>
            <c:numRef>
              <c:f>Конфеты!$H$4:$H$10</c:f>
              <c:numCache>
                <c:formatCode>General</c:formatCode>
                <c:ptCount val="7"/>
                <c:pt idx="0">
                  <c:v>490</c:v>
                </c:pt>
                <c:pt idx="1">
                  <c:v>420</c:v>
                </c:pt>
                <c:pt idx="2">
                  <c:v>728</c:v>
                </c:pt>
                <c:pt idx="3">
                  <c:v>1300</c:v>
                </c:pt>
                <c:pt idx="4">
                  <c:v>280</c:v>
                </c:pt>
                <c:pt idx="5">
                  <c:v>1008</c:v>
                </c:pt>
                <c:pt idx="6">
                  <c:v>288</c:v>
                </c:pt>
              </c:numCache>
            </c:numRef>
          </c:val>
        </c:ser>
        <c:shape val="cone"/>
        <c:axId val="78996992"/>
        <c:axId val="78998528"/>
        <c:axId val="0"/>
      </c:bar3DChart>
      <c:catAx>
        <c:axId val="78996992"/>
        <c:scaling>
          <c:orientation val="minMax"/>
        </c:scaling>
        <c:axPos val="b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majorTickMark val="none"/>
        <c:tickLblPos val="nextTo"/>
        <c:crossAx val="78998528"/>
        <c:crosses val="autoZero"/>
        <c:auto val="1"/>
        <c:lblAlgn val="ctr"/>
        <c:lblOffset val="100"/>
      </c:catAx>
      <c:valAx>
        <c:axId val="78998528"/>
        <c:scaling>
          <c:orientation val="minMax"/>
        </c:scaling>
        <c:axPos val="l"/>
        <c:majorGridlines/>
        <c:numFmt formatCode="General" sourceLinked="1"/>
        <c:tickLblPos val="nextTo"/>
        <c:crossAx val="78996992"/>
        <c:crosses val="autoZero"/>
        <c:crossBetween val="between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Таблица умножения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9565303117598115E-2"/>
          <c:y val="0.12779817461585335"/>
          <c:w val="0.94612575379297104"/>
          <c:h val="0.73988969445238983"/>
        </c:manualLayout>
      </c:layout>
      <c:barChart>
        <c:barDir val="col"/>
        <c:grouping val="clustered"/>
        <c:ser>
          <c:idx val="0"/>
          <c:order val="0"/>
          <c:tx>
            <c:strRef>
              <c:f>'Таблица умножения'!$A$2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умножения'!$B$2:$I$2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1"/>
          <c:order val="1"/>
          <c:tx>
            <c:strRef>
              <c:f>'Таблица умножения'!$A$3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умножения'!$B$3:$I$3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'Таблица умножения'!$A$4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умножения'!$B$4:$I$4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3"/>
          <c:order val="3"/>
          <c:tx>
            <c:strRef>
              <c:f>'Таблица умножения'!$A$5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умножения'!$B$5:$I$5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4"/>
          <c:order val="4"/>
          <c:tx>
            <c:strRef>
              <c:f>'Таблица умножения'!$A$6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умножения'!$B$6:$I$6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5"/>
          <c:order val="5"/>
          <c:tx>
            <c:strRef>
              <c:f>'Таблица умножения'!$A$7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умножения'!$B$7:$I$7</c:f>
              <c:numCache>
                <c:formatCode>General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6"/>
          <c:order val="6"/>
          <c:tx>
            <c:strRef>
              <c:f>'Таблица умножения'!$A$8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умножения'!$B$8:$I$8</c:f>
              <c:numCache>
                <c:formatCode>General</c:formatCode>
                <c:ptCount val="8"/>
                <c:pt idx="0">
                  <c:v>16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ser>
          <c:idx val="7"/>
          <c:order val="7"/>
          <c:tx>
            <c:strRef>
              <c:f>'Таблица умножения'!$A$9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'Таблица умножения'!$B$1:$I$1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умножения'!$B$9:$I$9</c:f>
              <c:numCache>
                <c:formatCode>General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54</c:v>
                </c:pt>
                <c:pt idx="5">
                  <c:v>63</c:v>
                </c:pt>
                <c:pt idx="6">
                  <c:v>72</c:v>
                </c:pt>
                <c:pt idx="7">
                  <c:v>81</c:v>
                </c:pt>
              </c:numCache>
            </c:numRef>
          </c:val>
        </c:ser>
        <c:gapWidth val="75"/>
        <c:overlap val="-25"/>
        <c:axId val="82878848"/>
        <c:axId val="82880384"/>
      </c:barChart>
      <c:catAx>
        <c:axId val="82878848"/>
        <c:scaling>
          <c:orientation val="minMax"/>
        </c:scaling>
        <c:axPos val="b"/>
        <c:numFmt formatCode="General" sourceLinked="1"/>
        <c:majorTickMark val="none"/>
        <c:tickLblPos val="nextTo"/>
        <c:crossAx val="82880384"/>
        <c:crosses val="autoZero"/>
        <c:auto val="1"/>
        <c:lblAlgn val="ctr"/>
        <c:lblOffset val="100"/>
      </c:catAx>
      <c:valAx>
        <c:axId val="828803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8287884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Название на 1 квартал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Pt>
            <c:idx val="2"/>
            <c:spPr>
              <a:solidFill>
                <a:schemeClr val="bg2">
                  <a:lumMod val="75000"/>
                </a:schemeClr>
              </a:solidFill>
            </c:spPr>
          </c:dPt>
          <c:dPt>
            <c:idx val="8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Val val="1"/>
          </c:dLbls>
          <c:cat>
            <c:strRef>
              <c:f>Потребность!$B$5:$B$15</c:f>
              <c:strCache>
                <c:ptCount val="11"/>
                <c:pt idx="0">
                  <c:v>ручки</c:v>
                </c:pt>
                <c:pt idx="1">
                  <c:v>карандаши</c:v>
                </c:pt>
                <c:pt idx="2">
                  <c:v>скрепки</c:v>
                </c:pt>
                <c:pt idx="3">
                  <c:v>клей</c:v>
                </c:pt>
                <c:pt idx="4">
                  <c:v>ножницы</c:v>
                </c:pt>
                <c:pt idx="5">
                  <c:v>степлер</c:v>
                </c:pt>
                <c:pt idx="6">
                  <c:v>скобы для степлера</c:v>
                </c:pt>
                <c:pt idx="7">
                  <c:v>резинки</c:v>
                </c:pt>
                <c:pt idx="8">
                  <c:v>бумага</c:v>
                </c:pt>
                <c:pt idx="9">
                  <c:v>дырокол</c:v>
                </c:pt>
                <c:pt idx="10">
                  <c:v>папки</c:v>
                </c:pt>
              </c:strCache>
            </c:strRef>
          </c:cat>
          <c:val>
            <c:numRef>
              <c:f>Потребность!$C$5:$C$15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15</c:v>
                </c:pt>
                <c:pt idx="9">
                  <c:v>2</c:v>
                </c:pt>
                <c:pt idx="10">
                  <c:v>23</c:v>
                </c:pt>
              </c:numCache>
            </c:numRef>
          </c:val>
        </c:ser>
        <c:dLbls>
          <c:showVal val="1"/>
        </c:dLbls>
        <c:axId val="82912000"/>
        <c:axId val="82913920"/>
      </c:barChart>
      <c:catAx>
        <c:axId val="82912000"/>
        <c:scaling>
          <c:orientation val="minMax"/>
        </c:scaling>
        <c:axPos val="b"/>
        <c:minorGridlines/>
        <c:title>
          <c:layout/>
        </c:title>
        <c:tickLblPos val="nextTo"/>
        <c:crossAx val="82913920"/>
        <c:crosses val="autoZero"/>
        <c:auto val="1"/>
        <c:lblAlgn val="ctr"/>
        <c:lblOffset val="100"/>
      </c:catAx>
      <c:valAx>
        <c:axId val="82913920"/>
        <c:scaling>
          <c:orientation val="minMax"/>
        </c:scaling>
        <c:axPos val="l"/>
        <c:majorGridlines/>
        <c:title>
          <c:layout/>
          <c:txPr>
            <a:bodyPr rot="0" vert="wordArtVert"/>
            <a:lstStyle/>
            <a:p>
              <a:pPr>
                <a:defRPr/>
              </a:pPr>
              <a:endParaRPr lang="ru-RU"/>
            </a:p>
          </c:txPr>
        </c:title>
        <c:numFmt formatCode="General" sourceLinked="1"/>
        <c:tickLblPos val="nextTo"/>
        <c:crossAx val="8291200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17</xdr:col>
      <xdr:colOff>9525</xdr:colOff>
      <xdr:row>22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104774</xdr:rowOff>
    </xdr:from>
    <xdr:to>
      <xdr:col>15</xdr:col>
      <xdr:colOff>257175</xdr:colOff>
      <xdr:row>19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F7" sqref="F7"/>
    </sheetView>
  </sheetViews>
  <sheetFormatPr defaultRowHeight="15"/>
  <cols>
    <col min="3" max="3" width="17.140625" customWidth="1"/>
    <col min="4" max="5" width="10.28515625" customWidth="1"/>
    <col min="6" max="6" width="13" bestFit="1" customWidth="1"/>
  </cols>
  <sheetData>
    <row r="1" spans="1:8" ht="35.25" thickBot="1">
      <c r="A1" s="139" t="s">
        <v>41</v>
      </c>
      <c r="B1" s="139"/>
      <c r="C1" s="139"/>
      <c r="D1" s="139"/>
      <c r="E1" s="139"/>
      <c r="F1" s="139"/>
      <c r="G1" s="139"/>
      <c r="H1" s="139"/>
    </row>
    <row r="2" spans="1:8">
      <c r="A2" s="5" t="s">
        <v>42</v>
      </c>
      <c r="B2" s="6" t="s">
        <v>1</v>
      </c>
      <c r="C2" s="6" t="s">
        <v>3</v>
      </c>
      <c r="D2" s="6" t="s">
        <v>2</v>
      </c>
      <c r="E2" s="6" t="s">
        <v>43</v>
      </c>
      <c r="F2" s="6" t="s">
        <v>43</v>
      </c>
      <c r="G2" s="6"/>
      <c r="H2" s="7"/>
    </row>
    <row r="3" spans="1:8">
      <c r="A3" s="8">
        <v>1</v>
      </c>
      <c r="B3" s="9" t="s">
        <v>44</v>
      </c>
      <c r="C3" s="9">
        <v>15</v>
      </c>
      <c r="D3" s="9">
        <v>600</v>
      </c>
      <c r="E3" s="9">
        <f>C3*D3</f>
        <v>9000</v>
      </c>
      <c r="F3" s="9">
        <f>PRODUCT(C3:D3)</f>
        <v>9000</v>
      </c>
      <c r="G3" s="9"/>
      <c r="H3" s="10"/>
    </row>
    <row r="4" spans="1:8">
      <c r="A4" s="8">
        <v>2</v>
      </c>
      <c r="B4" s="9" t="s">
        <v>45</v>
      </c>
      <c r="C4" s="9">
        <v>3</v>
      </c>
      <c r="D4" s="9">
        <v>1300</v>
      </c>
      <c r="E4" s="9">
        <f t="shared" ref="E4:E8" si="0">C4*D4</f>
        <v>3900</v>
      </c>
      <c r="F4" s="9">
        <f t="shared" ref="F4:F8" si="1">PRODUCT(C4:D4)</f>
        <v>3900</v>
      </c>
      <c r="G4" s="9"/>
      <c r="H4" s="10"/>
    </row>
    <row r="5" spans="1:8">
      <c r="A5" s="8">
        <v>3</v>
      </c>
      <c r="B5" s="9" t="s">
        <v>46</v>
      </c>
      <c r="C5" s="9">
        <v>10</v>
      </c>
      <c r="D5" s="9">
        <v>330</v>
      </c>
      <c r="E5" s="9">
        <f t="shared" si="0"/>
        <v>3300</v>
      </c>
      <c r="F5" s="9">
        <f t="shared" si="1"/>
        <v>3300</v>
      </c>
      <c r="G5" s="9"/>
      <c r="H5" s="10"/>
    </row>
    <row r="6" spans="1:8">
      <c r="A6" s="8">
        <v>4</v>
      </c>
      <c r="B6" s="9" t="s">
        <v>47</v>
      </c>
      <c r="C6" s="9">
        <v>6</v>
      </c>
      <c r="D6" s="9">
        <v>57</v>
      </c>
      <c r="E6" s="9">
        <f t="shared" si="0"/>
        <v>342</v>
      </c>
      <c r="F6" s="9">
        <f t="shared" si="1"/>
        <v>342</v>
      </c>
      <c r="G6" s="9"/>
      <c r="H6" s="10"/>
    </row>
    <row r="7" spans="1:8">
      <c r="A7" s="8">
        <v>5</v>
      </c>
      <c r="B7" s="9" t="s">
        <v>48</v>
      </c>
      <c r="C7" s="9">
        <v>15</v>
      </c>
      <c r="D7" s="9">
        <v>123</v>
      </c>
      <c r="E7" s="9">
        <f t="shared" si="0"/>
        <v>1845</v>
      </c>
      <c r="F7" s="9">
        <f t="shared" si="1"/>
        <v>1845</v>
      </c>
      <c r="G7" s="9"/>
      <c r="H7" s="10"/>
    </row>
    <row r="8" spans="1:8">
      <c r="A8" s="8">
        <v>6</v>
      </c>
      <c r="B8" s="9" t="s">
        <v>49</v>
      </c>
      <c r="C8" s="9">
        <v>13</v>
      </c>
      <c r="D8" s="9">
        <v>365</v>
      </c>
      <c r="E8" s="9">
        <f t="shared" si="0"/>
        <v>4745</v>
      </c>
      <c r="F8" s="9">
        <f t="shared" si="1"/>
        <v>4745</v>
      </c>
      <c r="G8" s="9"/>
      <c r="H8" s="10"/>
    </row>
    <row r="9" spans="1:8">
      <c r="A9" s="8">
        <v>8</v>
      </c>
      <c r="B9" s="9" t="s">
        <v>34</v>
      </c>
      <c r="C9" s="9"/>
      <c r="D9" s="9"/>
      <c r="E9" s="9">
        <f>SUM(E3:E8)</f>
        <v>23132</v>
      </c>
      <c r="F9" s="11">
        <f>E9/30</f>
        <v>771.06666666666672</v>
      </c>
      <c r="G9" s="9"/>
      <c r="H9" s="10"/>
    </row>
    <row r="10" spans="1:8">
      <c r="A10" s="8">
        <v>9</v>
      </c>
      <c r="B10" s="9"/>
      <c r="C10" s="9"/>
      <c r="D10" s="9"/>
      <c r="E10" s="9"/>
      <c r="F10" s="9"/>
      <c r="G10" s="9"/>
      <c r="H10" s="10"/>
    </row>
    <row r="11" spans="1:8">
      <c r="A11" s="8">
        <v>10</v>
      </c>
      <c r="B11" s="9"/>
      <c r="C11" s="9"/>
      <c r="D11" s="9"/>
      <c r="E11" s="9"/>
      <c r="F11" s="9"/>
      <c r="G11" s="9"/>
      <c r="H11" s="10"/>
    </row>
    <row r="12" spans="1:8">
      <c r="A12" s="8">
        <v>11</v>
      </c>
      <c r="B12" s="9"/>
      <c r="C12" s="9"/>
      <c r="D12" s="9"/>
      <c r="E12" s="9"/>
      <c r="F12" s="9"/>
      <c r="G12" s="9"/>
      <c r="H12" s="10"/>
    </row>
    <row r="13" spans="1:8">
      <c r="A13" s="8">
        <v>12</v>
      </c>
      <c r="B13" s="9"/>
      <c r="C13" s="9"/>
      <c r="D13" s="9"/>
      <c r="E13" s="9"/>
      <c r="F13" s="9"/>
      <c r="G13" s="9"/>
      <c r="H13" s="10"/>
    </row>
    <row r="14" spans="1:8">
      <c r="A14" s="8">
        <v>13</v>
      </c>
      <c r="B14" s="9"/>
      <c r="C14" s="9"/>
      <c r="D14" s="9"/>
      <c r="E14" s="9"/>
      <c r="F14" s="9"/>
      <c r="G14" s="9"/>
      <c r="H14" s="10"/>
    </row>
    <row r="15" spans="1:8" ht="15.75" thickBot="1">
      <c r="A15" s="12">
        <v>14</v>
      </c>
      <c r="B15" s="13"/>
      <c r="C15" s="13"/>
      <c r="D15" s="13"/>
      <c r="E15" s="13"/>
      <c r="F15" s="13"/>
      <c r="G15" s="13"/>
      <c r="H15" s="14"/>
    </row>
  </sheetData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sqref="A1:H1"/>
    </sheetView>
  </sheetViews>
  <sheetFormatPr defaultRowHeight="15"/>
  <cols>
    <col min="1" max="1" width="9.140625" style="97"/>
    <col min="2" max="2" width="22.140625" style="97" customWidth="1"/>
    <col min="3" max="3" width="15.28515625" style="97" customWidth="1"/>
    <col min="4" max="5" width="9.140625" style="97"/>
    <col min="6" max="6" width="11.5703125" style="97" customWidth="1"/>
    <col min="7" max="7" width="14.85546875" style="97" customWidth="1"/>
    <col min="8" max="8" width="12.7109375" style="97" customWidth="1"/>
    <col min="9" max="16384" width="9.140625" style="97"/>
  </cols>
  <sheetData>
    <row r="1" spans="1:11" ht="33" customHeight="1">
      <c r="A1" s="195" t="s">
        <v>184</v>
      </c>
      <c r="B1" s="195"/>
      <c r="C1" s="195"/>
      <c r="D1" s="195"/>
      <c r="E1" s="195"/>
      <c r="F1" s="195"/>
      <c r="G1" s="195"/>
      <c r="H1" s="195"/>
    </row>
    <row r="2" spans="1:11" ht="30" customHeight="1">
      <c r="A2" s="98" t="s">
        <v>170</v>
      </c>
      <c r="B2" s="98" t="s">
        <v>1</v>
      </c>
      <c r="C2" s="98" t="s">
        <v>171</v>
      </c>
      <c r="D2" s="98" t="s">
        <v>172</v>
      </c>
      <c r="E2" s="98" t="s">
        <v>43</v>
      </c>
      <c r="F2" s="105" t="s">
        <v>173</v>
      </c>
      <c r="G2" s="105" t="s">
        <v>174</v>
      </c>
      <c r="H2" s="106" t="s">
        <v>175</v>
      </c>
      <c r="J2" s="107"/>
      <c r="K2" s="107"/>
    </row>
    <row r="3" spans="1:11">
      <c r="A3" s="99">
        <v>1</v>
      </c>
      <c r="B3" s="99" t="s">
        <v>176</v>
      </c>
      <c r="C3" s="99">
        <v>150</v>
      </c>
      <c r="D3" s="99">
        <v>5</v>
      </c>
      <c r="E3" s="99">
        <f>C3*D3</f>
        <v>750</v>
      </c>
      <c r="F3" s="108">
        <f>E3*18%</f>
        <v>135</v>
      </c>
      <c r="G3" s="108">
        <f>(E3+F3)*35%</f>
        <v>309.75</v>
      </c>
      <c r="H3" s="109">
        <f>(E3+F3+G3)/D3</f>
        <v>238.95</v>
      </c>
      <c r="J3" s="107"/>
    </row>
    <row r="4" spans="1:11">
      <c r="A4" s="99">
        <v>2</v>
      </c>
      <c r="B4" s="99" t="s">
        <v>177</v>
      </c>
      <c r="C4" s="99">
        <v>750</v>
      </c>
      <c r="D4" s="99">
        <v>1</v>
      </c>
      <c r="E4" s="99">
        <f t="shared" ref="E4:E10" si="0">C4*D4</f>
        <v>750</v>
      </c>
      <c r="F4" s="108">
        <f t="shared" ref="F4:F10" si="1">E4*18%</f>
        <v>135</v>
      </c>
      <c r="G4" s="108">
        <f t="shared" ref="G4:G10" si="2">(E4+F4)*35%</f>
        <v>309.75</v>
      </c>
      <c r="H4" s="109">
        <f t="shared" ref="H4:H10" si="3">(E4+F4+G4)/D4</f>
        <v>1194.75</v>
      </c>
      <c r="J4" s="107"/>
    </row>
    <row r="5" spans="1:11">
      <c r="A5" s="99">
        <v>3</v>
      </c>
      <c r="B5" s="99" t="s">
        <v>178</v>
      </c>
      <c r="C5" s="99">
        <v>800</v>
      </c>
      <c r="D5" s="99">
        <v>4</v>
      </c>
      <c r="E5" s="99">
        <f t="shared" si="0"/>
        <v>3200</v>
      </c>
      <c r="F5" s="108">
        <f t="shared" si="1"/>
        <v>576</v>
      </c>
      <c r="G5" s="108">
        <f t="shared" si="2"/>
        <v>1321.6</v>
      </c>
      <c r="H5" s="109">
        <f t="shared" si="3"/>
        <v>1274.4000000000001</v>
      </c>
      <c r="J5" s="107"/>
    </row>
    <row r="6" spans="1:11">
      <c r="A6" s="99">
        <v>4</v>
      </c>
      <c r="B6" s="99" t="s">
        <v>179</v>
      </c>
      <c r="C6" s="99">
        <v>27000</v>
      </c>
      <c r="D6" s="99">
        <v>2</v>
      </c>
      <c r="E6" s="99">
        <f t="shared" si="0"/>
        <v>54000</v>
      </c>
      <c r="F6" s="108">
        <f t="shared" si="1"/>
        <v>9720</v>
      </c>
      <c r="G6" s="108">
        <f t="shared" si="2"/>
        <v>22302</v>
      </c>
      <c r="H6" s="109">
        <f t="shared" si="3"/>
        <v>43011</v>
      </c>
      <c r="J6" s="107"/>
    </row>
    <row r="7" spans="1:11">
      <c r="A7" s="99">
        <v>5</v>
      </c>
      <c r="B7" s="99" t="s">
        <v>180</v>
      </c>
      <c r="C7" s="99">
        <v>450</v>
      </c>
      <c r="D7" s="99">
        <v>10</v>
      </c>
      <c r="E7" s="99">
        <f t="shared" si="0"/>
        <v>4500</v>
      </c>
      <c r="F7" s="108">
        <f t="shared" si="1"/>
        <v>810</v>
      </c>
      <c r="G7" s="108">
        <f t="shared" si="2"/>
        <v>1858.4999999999998</v>
      </c>
      <c r="H7" s="109">
        <f t="shared" si="3"/>
        <v>716.85</v>
      </c>
      <c r="J7" s="107"/>
    </row>
    <row r="8" spans="1:11">
      <c r="A8" s="99">
        <v>6</v>
      </c>
      <c r="B8" s="99" t="s">
        <v>181</v>
      </c>
      <c r="C8" s="99">
        <v>700</v>
      </c>
      <c r="D8" s="99">
        <v>15</v>
      </c>
      <c r="E8" s="99">
        <f t="shared" si="0"/>
        <v>10500</v>
      </c>
      <c r="F8" s="108">
        <f t="shared" si="1"/>
        <v>1890</v>
      </c>
      <c r="G8" s="108">
        <f t="shared" si="2"/>
        <v>4336.5</v>
      </c>
      <c r="H8" s="109">
        <f t="shared" si="3"/>
        <v>1115.0999999999999</v>
      </c>
      <c r="J8" s="107"/>
    </row>
    <row r="9" spans="1:11">
      <c r="A9" s="99">
        <v>7</v>
      </c>
      <c r="B9" s="99" t="s">
        <v>182</v>
      </c>
      <c r="C9" s="99">
        <v>850</v>
      </c>
      <c r="D9" s="99">
        <v>10</v>
      </c>
      <c r="E9" s="99">
        <f t="shared" si="0"/>
        <v>8500</v>
      </c>
      <c r="F9" s="108">
        <f t="shared" si="1"/>
        <v>1530</v>
      </c>
      <c r="G9" s="108">
        <f t="shared" si="2"/>
        <v>3510.5</v>
      </c>
      <c r="H9" s="109">
        <f t="shared" si="3"/>
        <v>1354.05</v>
      </c>
      <c r="J9" s="107"/>
    </row>
    <row r="10" spans="1:11">
      <c r="A10" s="99">
        <v>8</v>
      </c>
      <c r="B10" s="99" t="s">
        <v>183</v>
      </c>
      <c r="C10" s="99">
        <v>250</v>
      </c>
      <c r="D10" s="99">
        <v>25</v>
      </c>
      <c r="E10" s="99">
        <f t="shared" si="0"/>
        <v>6250</v>
      </c>
      <c r="F10" s="108">
        <f t="shared" si="1"/>
        <v>1125</v>
      </c>
      <c r="G10" s="108">
        <f t="shared" si="2"/>
        <v>2581.25</v>
      </c>
      <c r="H10" s="109">
        <f t="shared" si="3"/>
        <v>398.25</v>
      </c>
      <c r="J10" s="107"/>
    </row>
    <row r="11" spans="1:11" ht="23.25" customHeight="1">
      <c r="A11" s="196" t="s">
        <v>26</v>
      </c>
      <c r="B11" s="197"/>
      <c r="C11" s="100">
        <f t="shared" ref="C11:H11" si="4">SUM(C3:C10)</f>
        <v>30950</v>
      </c>
      <c r="D11" s="100">
        <f t="shared" si="4"/>
        <v>72</v>
      </c>
      <c r="E11" s="100">
        <f t="shared" si="4"/>
        <v>88450</v>
      </c>
      <c r="F11" s="110">
        <f t="shared" si="4"/>
        <v>15921</v>
      </c>
      <c r="G11" s="110">
        <f t="shared" si="4"/>
        <v>36529.85</v>
      </c>
      <c r="H11" s="100">
        <f t="shared" si="4"/>
        <v>49303.35</v>
      </c>
    </row>
  </sheetData>
  <mergeCells count="2">
    <mergeCell ref="A1:H1"/>
    <mergeCell ref="A11:B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7" sqref="D7"/>
    </sheetView>
  </sheetViews>
  <sheetFormatPr defaultRowHeight="15"/>
  <cols>
    <col min="1" max="1" width="13.28515625" customWidth="1"/>
    <col min="2" max="2" width="14.7109375" customWidth="1"/>
    <col min="3" max="3" width="14.28515625" customWidth="1"/>
    <col min="4" max="4" width="15" customWidth="1"/>
    <col min="6" max="6" width="9.7109375" customWidth="1"/>
  </cols>
  <sheetData>
    <row r="1" spans="1:6" ht="15.75" thickBot="1">
      <c r="A1" s="198" t="s">
        <v>105</v>
      </c>
      <c r="B1" s="198"/>
      <c r="C1" s="198"/>
      <c r="D1" s="198"/>
      <c r="E1" s="198"/>
      <c r="F1" s="198"/>
    </row>
    <row r="2" spans="1:6">
      <c r="A2" s="55" t="s">
        <v>106</v>
      </c>
      <c r="B2" s="56" t="s">
        <v>107</v>
      </c>
      <c r="C2" s="56" t="s">
        <v>108</v>
      </c>
      <c r="D2" s="57" t="s">
        <v>109</v>
      </c>
      <c r="E2" s="55" t="s">
        <v>110</v>
      </c>
      <c r="F2" s="57" t="s">
        <v>111</v>
      </c>
    </row>
    <row r="3" spans="1:6" ht="15.75" thickBot="1">
      <c r="A3" s="58" t="s">
        <v>112</v>
      </c>
      <c r="B3" s="69">
        <v>208650</v>
      </c>
      <c r="C3" s="59">
        <f>B3/$E$3</f>
        <v>6661.8773946360152</v>
      </c>
      <c r="D3" s="60">
        <f>B3/$F$3</f>
        <v>6489.8911353032663</v>
      </c>
      <c r="E3" s="61">
        <v>31.32</v>
      </c>
      <c r="F3" s="62">
        <v>32.15</v>
      </c>
    </row>
    <row r="4" spans="1:6">
      <c r="A4" s="58" t="s">
        <v>113</v>
      </c>
      <c r="B4" s="69">
        <v>175200</v>
      </c>
      <c r="C4" s="59">
        <f t="shared" ref="C4:C7" si="0">B4/$E$3</f>
        <v>5593.8697318007662</v>
      </c>
      <c r="D4" s="60">
        <f t="shared" ref="D4:D7" si="1">B4/$F$3</f>
        <v>5449.4556765163297</v>
      </c>
      <c r="E4" s="63"/>
      <c r="F4" s="63"/>
    </row>
    <row r="5" spans="1:6">
      <c r="A5" s="58" t="s">
        <v>114</v>
      </c>
      <c r="B5" s="69">
        <v>673926</v>
      </c>
      <c r="C5" s="59">
        <f t="shared" si="0"/>
        <v>21517.432950191571</v>
      </c>
      <c r="D5" s="60">
        <f t="shared" si="1"/>
        <v>20961.928460342147</v>
      </c>
      <c r="E5" s="63"/>
      <c r="F5" s="63"/>
    </row>
    <row r="6" spans="1:6">
      <c r="A6" s="58" t="s">
        <v>115</v>
      </c>
      <c r="B6" s="69">
        <v>126872</v>
      </c>
      <c r="C6" s="59">
        <f t="shared" si="0"/>
        <v>4050.8301404853128</v>
      </c>
      <c r="D6" s="60">
        <f t="shared" si="1"/>
        <v>3946.251944012442</v>
      </c>
      <c r="E6" s="63"/>
      <c r="F6" s="63"/>
    </row>
    <row r="7" spans="1:6">
      <c r="A7" s="58" t="s">
        <v>116</v>
      </c>
      <c r="B7" s="69">
        <v>340698</v>
      </c>
      <c r="C7" s="59">
        <f t="shared" si="0"/>
        <v>10877.969348659004</v>
      </c>
      <c r="D7" s="60">
        <f t="shared" si="1"/>
        <v>10597.138413685849</v>
      </c>
      <c r="E7" s="63"/>
      <c r="F7" s="63"/>
    </row>
    <row r="8" spans="1:6" s="68" customFormat="1" ht="15.75" thickBot="1">
      <c r="A8" s="64" t="s">
        <v>34</v>
      </c>
      <c r="B8" s="70">
        <f>SUM(B3:B7)</f>
        <v>1525346</v>
      </c>
      <c r="C8" s="65">
        <f t="shared" ref="C8:D8" si="2">SUM(C3:C7)</f>
        <v>48701.979565772672</v>
      </c>
      <c r="D8" s="66">
        <f t="shared" si="2"/>
        <v>47444.665629860036</v>
      </c>
      <c r="E8" s="67"/>
      <c r="F8" s="67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21" sqref="F21"/>
    </sheetView>
  </sheetViews>
  <sheetFormatPr defaultRowHeight="15"/>
  <sheetData>
    <row r="1" spans="1:9">
      <c r="A1" s="71"/>
      <c r="B1" s="72">
        <v>2</v>
      </c>
      <c r="C1" s="72">
        <v>3</v>
      </c>
      <c r="D1" s="72">
        <v>4</v>
      </c>
      <c r="E1" s="72">
        <v>5</v>
      </c>
      <c r="F1" s="72">
        <v>6</v>
      </c>
      <c r="G1" s="72">
        <v>7</v>
      </c>
      <c r="H1" s="72">
        <v>8</v>
      </c>
      <c r="I1" s="73">
        <v>9</v>
      </c>
    </row>
    <row r="2" spans="1:9">
      <c r="A2" s="74">
        <v>2</v>
      </c>
      <c r="B2" s="44">
        <f>A2*$B$1</f>
        <v>4</v>
      </c>
      <c r="C2" s="44">
        <f>A2*$C$1</f>
        <v>6</v>
      </c>
      <c r="D2" s="44">
        <f>A2*$D$1</f>
        <v>8</v>
      </c>
      <c r="E2" s="44">
        <f>A2*$E$1</f>
        <v>10</v>
      </c>
      <c r="F2" s="44">
        <f>A2*$F$1</f>
        <v>12</v>
      </c>
      <c r="G2" s="44">
        <f>A2*$G$1</f>
        <v>14</v>
      </c>
      <c r="H2" s="44">
        <f>A2*$H$1</f>
        <v>16</v>
      </c>
      <c r="I2" s="75">
        <f>A2*$I$1</f>
        <v>18</v>
      </c>
    </row>
    <row r="3" spans="1:9">
      <c r="A3" s="74">
        <v>3</v>
      </c>
      <c r="B3" s="44">
        <f t="shared" ref="B3:B9" si="0">A3*$B$1</f>
        <v>6</v>
      </c>
      <c r="C3" s="44">
        <f t="shared" ref="C3:C9" si="1">A3*$C$1</f>
        <v>9</v>
      </c>
      <c r="D3" s="44">
        <f t="shared" ref="D3:D9" si="2">A3*$D$1</f>
        <v>12</v>
      </c>
      <c r="E3" s="44">
        <f t="shared" ref="E3:E9" si="3">A3*$E$1</f>
        <v>15</v>
      </c>
      <c r="F3" s="44">
        <f t="shared" ref="F3:F9" si="4">A3*$F$1</f>
        <v>18</v>
      </c>
      <c r="G3" s="44">
        <f t="shared" ref="G3:G9" si="5">A3*$G$1</f>
        <v>21</v>
      </c>
      <c r="H3" s="44">
        <f t="shared" ref="H3:H9" si="6">A3*$H$1</f>
        <v>24</v>
      </c>
      <c r="I3" s="75">
        <f t="shared" ref="I3:I9" si="7">A3*$I$1</f>
        <v>27</v>
      </c>
    </row>
    <row r="4" spans="1:9">
      <c r="A4" s="74">
        <v>4</v>
      </c>
      <c r="B4" s="44">
        <f t="shared" si="0"/>
        <v>8</v>
      </c>
      <c r="C4" s="44">
        <f t="shared" si="1"/>
        <v>12</v>
      </c>
      <c r="D4" s="44">
        <f t="shared" si="2"/>
        <v>16</v>
      </c>
      <c r="E4" s="44">
        <f t="shared" si="3"/>
        <v>20</v>
      </c>
      <c r="F4" s="44">
        <f t="shared" si="4"/>
        <v>24</v>
      </c>
      <c r="G4" s="44">
        <f t="shared" si="5"/>
        <v>28</v>
      </c>
      <c r="H4" s="44">
        <f t="shared" si="6"/>
        <v>32</v>
      </c>
      <c r="I4" s="75">
        <f t="shared" si="7"/>
        <v>36</v>
      </c>
    </row>
    <row r="5" spans="1:9">
      <c r="A5" s="74">
        <v>5</v>
      </c>
      <c r="B5" s="44">
        <f t="shared" si="0"/>
        <v>10</v>
      </c>
      <c r="C5" s="44">
        <f t="shared" si="1"/>
        <v>15</v>
      </c>
      <c r="D5" s="44">
        <f t="shared" si="2"/>
        <v>20</v>
      </c>
      <c r="E5" s="44">
        <f t="shared" si="3"/>
        <v>25</v>
      </c>
      <c r="F5" s="44">
        <f t="shared" si="4"/>
        <v>30</v>
      </c>
      <c r="G5" s="44">
        <f t="shared" si="5"/>
        <v>35</v>
      </c>
      <c r="H5" s="44">
        <f t="shared" si="6"/>
        <v>40</v>
      </c>
      <c r="I5" s="75">
        <f t="shared" si="7"/>
        <v>45</v>
      </c>
    </row>
    <row r="6" spans="1:9">
      <c r="A6" s="74">
        <v>6</v>
      </c>
      <c r="B6" s="44">
        <f t="shared" si="0"/>
        <v>12</v>
      </c>
      <c r="C6" s="44">
        <f t="shared" si="1"/>
        <v>18</v>
      </c>
      <c r="D6" s="44">
        <f t="shared" si="2"/>
        <v>24</v>
      </c>
      <c r="E6" s="44">
        <f t="shared" si="3"/>
        <v>30</v>
      </c>
      <c r="F6" s="44">
        <f t="shared" si="4"/>
        <v>36</v>
      </c>
      <c r="G6" s="44">
        <f t="shared" si="5"/>
        <v>42</v>
      </c>
      <c r="H6" s="44">
        <f t="shared" si="6"/>
        <v>48</v>
      </c>
      <c r="I6" s="75">
        <f t="shared" si="7"/>
        <v>54</v>
      </c>
    </row>
    <row r="7" spans="1:9">
      <c r="A7" s="74">
        <v>7</v>
      </c>
      <c r="B7" s="44">
        <f t="shared" si="0"/>
        <v>14</v>
      </c>
      <c r="C7" s="44">
        <f t="shared" si="1"/>
        <v>21</v>
      </c>
      <c r="D7" s="44">
        <f t="shared" si="2"/>
        <v>28</v>
      </c>
      <c r="E7" s="44">
        <f t="shared" si="3"/>
        <v>35</v>
      </c>
      <c r="F7" s="44">
        <f t="shared" si="4"/>
        <v>42</v>
      </c>
      <c r="G7" s="44">
        <f t="shared" si="5"/>
        <v>49</v>
      </c>
      <c r="H7" s="44">
        <f t="shared" si="6"/>
        <v>56</v>
      </c>
      <c r="I7" s="75">
        <f t="shared" si="7"/>
        <v>63</v>
      </c>
    </row>
    <row r="8" spans="1:9">
      <c r="A8" s="74">
        <v>8</v>
      </c>
      <c r="B8" s="44">
        <f t="shared" si="0"/>
        <v>16</v>
      </c>
      <c r="C8" s="44">
        <f t="shared" si="1"/>
        <v>24</v>
      </c>
      <c r="D8" s="44">
        <f t="shared" si="2"/>
        <v>32</v>
      </c>
      <c r="E8" s="44">
        <f t="shared" si="3"/>
        <v>40</v>
      </c>
      <c r="F8" s="44">
        <f t="shared" si="4"/>
        <v>48</v>
      </c>
      <c r="G8" s="44">
        <f t="shared" si="5"/>
        <v>56</v>
      </c>
      <c r="H8" s="44">
        <f t="shared" si="6"/>
        <v>64</v>
      </c>
      <c r="I8" s="75">
        <f t="shared" si="7"/>
        <v>72</v>
      </c>
    </row>
    <row r="9" spans="1:9" ht="15.75" thickBot="1">
      <c r="A9" s="76">
        <v>9</v>
      </c>
      <c r="B9" s="77">
        <f t="shared" si="0"/>
        <v>18</v>
      </c>
      <c r="C9" s="77">
        <f t="shared" si="1"/>
        <v>27</v>
      </c>
      <c r="D9" s="77">
        <f t="shared" si="2"/>
        <v>36</v>
      </c>
      <c r="E9" s="77">
        <f t="shared" si="3"/>
        <v>45</v>
      </c>
      <c r="F9" s="77">
        <f t="shared" si="4"/>
        <v>54</v>
      </c>
      <c r="G9" s="77">
        <f t="shared" si="5"/>
        <v>63</v>
      </c>
      <c r="H9" s="77">
        <f t="shared" si="6"/>
        <v>72</v>
      </c>
      <c r="I9" s="78">
        <f t="shared" si="7"/>
        <v>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8" sqref="S8"/>
    </sheetView>
  </sheetViews>
  <sheetFormatPr defaultRowHeight="1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E19" sqref="E19"/>
    </sheetView>
  </sheetViews>
  <sheetFormatPr defaultRowHeight="15"/>
  <cols>
    <col min="2" max="2" width="22.28515625" customWidth="1"/>
    <col min="3" max="3" width="11.5703125" bestFit="1" customWidth="1"/>
    <col min="4" max="4" width="8.85546875" customWidth="1"/>
    <col min="5" max="5" width="11.5703125" customWidth="1"/>
  </cols>
  <sheetData>
    <row r="2" spans="2:5">
      <c r="B2" s="199" t="s">
        <v>117</v>
      </c>
      <c r="C2" s="199"/>
      <c r="D2" s="199"/>
      <c r="E2" s="199"/>
    </row>
    <row r="4" spans="2:5">
      <c r="B4" s="46" t="s">
        <v>1</v>
      </c>
      <c r="C4" s="46" t="s">
        <v>3</v>
      </c>
      <c r="D4" s="46" t="s">
        <v>2</v>
      </c>
      <c r="E4" s="46" t="s">
        <v>43</v>
      </c>
    </row>
    <row r="5" spans="2:5">
      <c r="B5" s="46" t="s">
        <v>118</v>
      </c>
      <c r="C5" s="46">
        <v>10</v>
      </c>
      <c r="D5" s="46">
        <v>4.5</v>
      </c>
      <c r="E5" s="46">
        <f>C5*D5</f>
        <v>45</v>
      </c>
    </row>
    <row r="6" spans="2:5">
      <c r="B6" s="46" t="s">
        <v>119</v>
      </c>
      <c r="C6" s="46">
        <v>15</v>
      </c>
      <c r="D6" s="46">
        <v>3.9</v>
      </c>
      <c r="E6" s="46">
        <f t="shared" ref="E6:E15" si="0">C6*D6</f>
        <v>58.5</v>
      </c>
    </row>
    <row r="7" spans="2:5">
      <c r="B7" s="46" t="s">
        <v>120</v>
      </c>
      <c r="C7" s="46">
        <v>10</v>
      </c>
      <c r="D7" s="46">
        <v>5.2</v>
      </c>
      <c r="E7" s="46">
        <f t="shared" si="0"/>
        <v>52</v>
      </c>
    </row>
    <row r="8" spans="2:5">
      <c r="B8" s="46" t="s">
        <v>121</v>
      </c>
      <c r="C8" s="46">
        <v>5</v>
      </c>
      <c r="D8" s="46">
        <v>8.6999999999999993</v>
      </c>
      <c r="E8" s="46">
        <f t="shared" si="0"/>
        <v>43.5</v>
      </c>
    </row>
    <row r="9" spans="2:5">
      <c r="B9" s="46" t="s">
        <v>122</v>
      </c>
      <c r="C9" s="46">
        <v>3</v>
      </c>
      <c r="D9" s="46">
        <v>12.5</v>
      </c>
      <c r="E9" s="46">
        <f t="shared" si="0"/>
        <v>37.5</v>
      </c>
    </row>
    <row r="10" spans="2:5">
      <c r="B10" s="46" t="s">
        <v>123</v>
      </c>
      <c r="C10" s="46">
        <v>2</v>
      </c>
      <c r="D10" s="46">
        <v>18</v>
      </c>
      <c r="E10" s="46">
        <f t="shared" si="0"/>
        <v>36</v>
      </c>
    </row>
    <row r="11" spans="2:5">
      <c r="B11" s="46" t="s">
        <v>124</v>
      </c>
      <c r="C11" s="46">
        <v>5</v>
      </c>
      <c r="D11" s="46">
        <v>12</v>
      </c>
      <c r="E11" s="46">
        <f t="shared" si="0"/>
        <v>60</v>
      </c>
    </row>
    <row r="12" spans="2:5">
      <c r="B12" s="46" t="s">
        <v>125</v>
      </c>
      <c r="C12" s="46">
        <v>7</v>
      </c>
      <c r="D12" s="46">
        <v>4.0999999999999996</v>
      </c>
      <c r="E12" s="46">
        <f t="shared" si="0"/>
        <v>28.699999999999996</v>
      </c>
    </row>
    <row r="13" spans="2:5">
      <c r="B13" s="46" t="s">
        <v>126</v>
      </c>
      <c r="C13" s="46">
        <v>15</v>
      </c>
      <c r="D13" s="46">
        <v>115</v>
      </c>
      <c r="E13" s="46">
        <f t="shared" si="0"/>
        <v>1725</v>
      </c>
    </row>
    <row r="14" spans="2:5">
      <c r="B14" s="46" t="s">
        <v>127</v>
      </c>
      <c r="C14" s="46">
        <v>2</v>
      </c>
      <c r="D14" s="46">
        <v>9.8000000000000007</v>
      </c>
      <c r="E14" s="46">
        <f t="shared" si="0"/>
        <v>19.600000000000001</v>
      </c>
    </row>
    <row r="15" spans="2:5">
      <c r="B15" s="46" t="s">
        <v>128</v>
      </c>
      <c r="C15" s="46">
        <v>23</v>
      </c>
      <c r="D15" s="46">
        <v>18</v>
      </c>
      <c r="E15" s="46">
        <f t="shared" si="0"/>
        <v>414</v>
      </c>
    </row>
    <row r="16" spans="2:5">
      <c r="B16" s="200" t="s">
        <v>26</v>
      </c>
      <c r="C16" s="201"/>
      <c r="D16" s="202"/>
      <c r="E16" s="46">
        <f>SUM(E5:E15)</f>
        <v>2519.7999999999997</v>
      </c>
    </row>
  </sheetData>
  <mergeCells count="2">
    <mergeCell ref="B2:E2"/>
    <mergeCell ref="B16:D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E16" sqref="E16"/>
    </sheetView>
  </sheetViews>
  <sheetFormatPr defaultRowHeight="15"/>
  <cols>
    <col min="2" max="2" width="22.28515625" customWidth="1"/>
    <col min="3" max="3" width="11.5703125" bestFit="1" customWidth="1"/>
    <col min="4" max="4" width="8.85546875" customWidth="1"/>
    <col min="5" max="5" width="11.5703125" customWidth="1"/>
  </cols>
  <sheetData>
    <row r="2" spans="2:5">
      <c r="B2" s="199" t="s">
        <v>129</v>
      </c>
      <c r="C2" s="199"/>
      <c r="D2" s="199"/>
      <c r="E2" s="199"/>
    </row>
    <row r="4" spans="2:5">
      <c r="B4" s="46" t="str">
        <f>Потребность!B4</f>
        <v>Наименование</v>
      </c>
      <c r="C4" s="46" t="str">
        <f>Потребность!C4</f>
        <v>Количество</v>
      </c>
      <c r="D4" s="46" t="str">
        <f>Потребность!D4</f>
        <v>Цена</v>
      </c>
      <c r="E4" s="46" t="s">
        <v>43</v>
      </c>
    </row>
    <row r="5" spans="2:5">
      <c r="B5" s="54" t="str">
        <f>Потребность!B5</f>
        <v>ручки</v>
      </c>
      <c r="C5" s="46">
        <f>Потребность!C5</f>
        <v>10</v>
      </c>
      <c r="D5" s="46">
        <v>5</v>
      </c>
      <c r="E5" s="46">
        <f>C5*D5</f>
        <v>50</v>
      </c>
    </row>
    <row r="6" spans="2:5">
      <c r="B6" s="54" t="str">
        <f>Потребность!B6</f>
        <v>карандаши</v>
      </c>
      <c r="C6" s="46">
        <f>Потребность!C6</f>
        <v>15</v>
      </c>
      <c r="D6" s="46">
        <v>3</v>
      </c>
      <c r="E6" s="46">
        <f t="shared" ref="E6:E15" si="0">C6*D6</f>
        <v>45</v>
      </c>
    </row>
    <row r="7" spans="2:5">
      <c r="B7" s="54" t="str">
        <f>Потребность!B7</f>
        <v>скрепки</v>
      </c>
      <c r="C7" s="46">
        <f>Потребность!C7</f>
        <v>10</v>
      </c>
      <c r="D7" s="46">
        <v>6</v>
      </c>
      <c r="E7" s="46">
        <f t="shared" si="0"/>
        <v>60</v>
      </c>
    </row>
    <row r="8" spans="2:5">
      <c r="B8" s="54" t="str">
        <f>Потребность!B8</f>
        <v>клей</v>
      </c>
      <c r="C8" s="46">
        <f>Потребность!C8</f>
        <v>5</v>
      </c>
      <c r="D8" s="46">
        <v>6</v>
      </c>
      <c r="E8" s="46">
        <f t="shared" si="0"/>
        <v>30</v>
      </c>
    </row>
    <row r="9" spans="2:5">
      <c r="B9" s="54" t="str">
        <f>Потребность!B9</f>
        <v>ножницы</v>
      </c>
      <c r="C9" s="46">
        <f>Потребность!C9</f>
        <v>3</v>
      </c>
      <c r="D9" s="46">
        <v>17</v>
      </c>
      <c r="E9" s="46">
        <f t="shared" si="0"/>
        <v>51</v>
      </c>
    </row>
    <row r="10" spans="2:5">
      <c r="B10" s="54" t="str">
        <f>Потребность!B10</f>
        <v>степлер</v>
      </c>
      <c r="C10" s="46">
        <f>Потребность!C10</f>
        <v>2</v>
      </c>
      <c r="D10" s="46">
        <v>20</v>
      </c>
      <c r="E10" s="46">
        <f t="shared" si="0"/>
        <v>40</v>
      </c>
    </row>
    <row r="11" spans="2:5">
      <c r="B11" s="54" t="str">
        <f>Потребность!B11</f>
        <v>скобы для степлера</v>
      </c>
      <c r="C11" s="46">
        <f>Потребность!C11</f>
        <v>5</v>
      </c>
      <c r="D11" s="46">
        <v>12</v>
      </c>
      <c r="E11" s="46">
        <f t="shared" si="0"/>
        <v>60</v>
      </c>
    </row>
    <row r="12" spans="2:5">
      <c r="B12" s="54" t="str">
        <f>Потребность!B12</f>
        <v>резинки</v>
      </c>
      <c r="C12" s="46">
        <f>Потребность!C12</f>
        <v>7</v>
      </c>
      <c r="D12" s="46">
        <v>1</v>
      </c>
      <c r="E12" s="46">
        <f t="shared" si="0"/>
        <v>7</v>
      </c>
    </row>
    <row r="13" spans="2:5">
      <c r="B13" s="54" t="str">
        <f>Потребность!B13</f>
        <v>бумага</v>
      </c>
      <c r="C13" s="46">
        <f>Потребность!C13</f>
        <v>15</v>
      </c>
      <c r="D13" s="46">
        <v>120</v>
      </c>
      <c r="E13" s="46">
        <f t="shared" si="0"/>
        <v>1800</v>
      </c>
    </row>
    <row r="14" spans="2:5">
      <c r="B14" s="54" t="str">
        <f>Потребность!B14</f>
        <v>дырокол</v>
      </c>
      <c r="C14" s="46">
        <f>Потребность!C14</f>
        <v>2</v>
      </c>
      <c r="D14" s="46">
        <v>15</v>
      </c>
      <c r="E14" s="46">
        <f t="shared" si="0"/>
        <v>30</v>
      </c>
    </row>
    <row r="15" spans="2:5">
      <c r="B15" s="54" t="str">
        <f>Потребность!B15</f>
        <v>папки</v>
      </c>
      <c r="C15" s="46">
        <f>Потребность!C15</f>
        <v>23</v>
      </c>
      <c r="D15" s="46">
        <v>20</v>
      </c>
      <c r="E15" s="46">
        <f t="shared" si="0"/>
        <v>460</v>
      </c>
    </row>
    <row r="16" spans="2:5">
      <c r="B16" s="200" t="s">
        <v>26</v>
      </c>
      <c r="C16" s="201"/>
      <c r="D16" s="202"/>
      <c r="E16" s="46">
        <f>SUM(E5:E15)</f>
        <v>2633</v>
      </c>
    </row>
  </sheetData>
  <mergeCells count="2">
    <mergeCell ref="B2:E2"/>
    <mergeCell ref="B16:D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E16" sqref="E16"/>
    </sheetView>
  </sheetViews>
  <sheetFormatPr defaultRowHeight="15"/>
  <cols>
    <col min="2" max="2" width="19.42578125" bestFit="1" customWidth="1"/>
    <col min="3" max="3" width="12.7109375" bestFit="1" customWidth="1"/>
    <col min="4" max="4" width="11.5703125" bestFit="1" customWidth="1"/>
    <col min="5" max="5" width="11.5703125" customWidth="1"/>
  </cols>
  <sheetData>
    <row r="2" spans="2:5">
      <c r="B2" s="199" t="s">
        <v>130</v>
      </c>
      <c r="C2" s="199"/>
      <c r="D2" s="199"/>
      <c r="E2" s="199"/>
    </row>
    <row r="4" spans="2:5">
      <c r="B4" s="46" t="str">
        <f>Фактически!B4</f>
        <v>Наименование</v>
      </c>
      <c r="C4" s="46" t="s">
        <v>131</v>
      </c>
      <c r="D4" s="46" t="s">
        <v>132</v>
      </c>
      <c r="E4" s="46" t="s">
        <v>133</v>
      </c>
    </row>
    <row r="5" spans="2:5">
      <c r="B5" s="46" t="str">
        <f>Потребность!B5</f>
        <v>ручки</v>
      </c>
      <c r="C5" s="46">
        <f>Потребность!E5</f>
        <v>45</v>
      </c>
      <c r="D5" s="46">
        <f>Фактически!E5</f>
        <v>50</v>
      </c>
      <c r="E5" s="46">
        <f>D5-C5</f>
        <v>5</v>
      </c>
    </row>
    <row r="6" spans="2:5">
      <c r="B6" s="46" t="str">
        <f>Потребность!B6</f>
        <v>карандаши</v>
      </c>
      <c r="C6" s="46">
        <f>Потребность!E6</f>
        <v>58.5</v>
      </c>
      <c r="D6" s="46">
        <f>Фактически!E6</f>
        <v>45</v>
      </c>
      <c r="E6" s="46">
        <f t="shared" ref="E6:E15" si="0">D6-C6</f>
        <v>-13.5</v>
      </c>
    </row>
    <row r="7" spans="2:5">
      <c r="B7" s="46" t="str">
        <f>Потребность!B7</f>
        <v>скрепки</v>
      </c>
      <c r="C7" s="46">
        <f>Потребность!E7</f>
        <v>52</v>
      </c>
      <c r="D7" s="46">
        <f>Фактически!E7</f>
        <v>60</v>
      </c>
      <c r="E7" s="46">
        <f t="shared" si="0"/>
        <v>8</v>
      </c>
    </row>
    <row r="8" spans="2:5">
      <c r="B8" s="46" t="str">
        <f>Потребность!B8</f>
        <v>клей</v>
      </c>
      <c r="C8" s="46">
        <f>Потребность!E8</f>
        <v>43.5</v>
      </c>
      <c r="D8" s="46">
        <f>Фактически!E8</f>
        <v>30</v>
      </c>
      <c r="E8" s="46">
        <f t="shared" si="0"/>
        <v>-13.5</v>
      </c>
    </row>
    <row r="9" spans="2:5">
      <c r="B9" s="46" t="str">
        <f>Потребность!B9</f>
        <v>ножницы</v>
      </c>
      <c r="C9" s="46">
        <f>Потребность!E9</f>
        <v>37.5</v>
      </c>
      <c r="D9" s="46">
        <f>Фактически!E9</f>
        <v>51</v>
      </c>
      <c r="E9" s="46">
        <f t="shared" si="0"/>
        <v>13.5</v>
      </c>
    </row>
    <row r="10" spans="2:5">
      <c r="B10" s="46" t="str">
        <f>Потребность!B10</f>
        <v>степлер</v>
      </c>
      <c r="C10" s="46">
        <f>Потребность!E10</f>
        <v>36</v>
      </c>
      <c r="D10" s="46">
        <f>Фактически!E10</f>
        <v>40</v>
      </c>
      <c r="E10" s="46">
        <f t="shared" si="0"/>
        <v>4</v>
      </c>
    </row>
    <row r="11" spans="2:5">
      <c r="B11" s="46" t="str">
        <f>Потребность!B11</f>
        <v>скобы для степлера</v>
      </c>
      <c r="C11" s="46">
        <f>Потребность!E11</f>
        <v>60</v>
      </c>
      <c r="D11" s="46">
        <f>Фактически!E11</f>
        <v>60</v>
      </c>
      <c r="E11" s="46">
        <f t="shared" si="0"/>
        <v>0</v>
      </c>
    </row>
    <row r="12" spans="2:5">
      <c r="B12" s="46" t="str">
        <f>Потребность!B12</f>
        <v>резинки</v>
      </c>
      <c r="C12" s="46">
        <f>Потребность!E12</f>
        <v>28.699999999999996</v>
      </c>
      <c r="D12" s="46">
        <f>Фактически!E12</f>
        <v>7</v>
      </c>
      <c r="E12" s="46">
        <f t="shared" si="0"/>
        <v>-21.699999999999996</v>
      </c>
    </row>
    <row r="13" spans="2:5">
      <c r="B13" s="46" t="str">
        <f>Потребность!B13</f>
        <v>бумага</v>
      </c>
      <c r="C13" s="46">
        <f>Потребность!E13</f>
        <v>1725</v>
      </c>
      <c r="D13" s="46">
        <f>Фактически!E13</f>
        <v>1800</v>
      </c>
      <c r="E13" s="46">
        <f t="shared" si="0"/>
        <v>75</v>
      </c>
    </row>
    <row r="14" spans="2:5">
      <c r="B14" s="46" t="str">
        <f>Потребность!B14</f>
        <v>дырокол</v>
      </c>
      <c r="C14" s="46">
        <f>Потребность!E14</f>
        <v>19.600000000000001</v>
      </c>
      <c r="D14" s="46">
        <f>Фактически!E14</f>
        <v>30</v>
      </c>
      <c r="E14" s="46">
        <f t="shared" si="0"/>
        <v>10.399999999999999</v>
      </c>
    </row>
    <row r="15" spans="2:5">
      <c r="B15" s="46" t="str">
        <f>Потребность!B15</f>
        <v>папки</v>
      </c>
      <c r="C15" s="46">
        <f>Потребность!E15</f>
        <v>414</v>
      </c>
      <c r="D15" s="46">
        <f>Фактически!E15</f>
        <v>460</v>
      </c>
      <c r="E15" s="46">
        <f t="shared" si="0"/>
        <v>46</v>
      </c>
    </row>
    <row r="16" spans="2:5">
      <c r="B16" s="200" t="s">
        <v>26</v>
      </c>
      <c r="C16" s="201"/>
      <c r="D16" s="202"/>
      <c r="E16" s="46">
        <f>SUM(E5:E15)</f>
        <v>113.2</v>
      </c>
    </row>
  </sheetData>
  <mergeCells count="2">
    <mergeCell ref="B2:E2"/>
    <mergeCell ref="B16:D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6"/>
  <sheetViews>
    <sheetView workbookViewId="0">
      <selection activeCell="A2" sqref="A2"/>
    </sheetView>
  </sheetViews>
  <sheetFormatPr defaultRowHeight="15"/>
  <cols>
    <col min="2" max="16" width="3.42578125" customWidth="1"/>
    <col min="17" max="17" width="8.5703125" customWidth="1"/>
    <col min="18" max="18" width="7.140625" customWidth="1"/>
    <col min="19" max="19" width="8.85546875" customWidth="1"/>
  </cols>
  <sheetData>
    <row r="1" spans="1:19" ht="16.5">
      <c r="A1" s="203" t="s">
        <v>141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31.5" customHeight="1">
      <c r="A2" s="79" t="s">
        <v>134</v>
      </c>
      <c r="B2" s="79">
        <v>1</v>
      </c>
      <c r="C2" s="79">
        <v>2</v>
      </c>
      <c r="D2" s="79">
        <v>3</v>
      </c>
      <c r="E2" s="79">
        <v>4</v>
      </c>
      <c r="F2" s="79">
        <v>5</v>
      </c>
      <c r="G2" s="79">
        <v>6</v>
      </c>
      <c r="H2" s="79">
        <v>7</v>
      </c>
      <c r="I2" s="79">
        <v>8</v>
      </c>
      <c r="J2" s="79">
        <v>9</v>
      </c>
      <c r="K2" s="79">
        <v>10</v>
      </c>
      <c r="L2" s="79">
        <v>11</v>
      </c>
      <c r="M2" s="79">
        <v>12</v>
      </c>
      <c r="N2" s="79">
        <v>13</v>
      </c>
      <c r="O2" s="79">
        <v>14</v>
      </c>
      <c r="P2" s="79">
        <v>15</v>
      </c>
      <c r="Q2" s="81" t="s">
        <v>142</v>
      </c>
      <c r="R2" s="81" t="s">
        <v>135</v>
      </c>
      <c r="S2" s="81" t="s">
        <v>136</v>
      </c>
    </row>
    <row r="3" spans="1:19" ht="16.5">
      <c r="A3" s="79" t="s">
        <v>137</v>
      </c>
      <c r="B3" s="80">
        <v>8</v>
      </c>
      <c r="C3" s="80">
        <v>8</v>
      </c>
      <c r="D3" s="80">
        <v>8</v>
      </c>
      <c r="E3" s="80">
        <v>8</v>
      </c>
      <c r="F3" s="80">
        <v>8</v>
      </c>
      <c r="G3" s="111" t="s">
        <v>138</v>
      </c>
      <c r="H3" s="111" t="s">
        <v>138</v>
      </c>
      <c r="I3" s="80">
        <v>8</v>
      </c>
      <c r="J3" s="80">
        <v>8</v>
      </c>
      <c r="K3" s="80">
        <v>8</v>
      </c>
      <c r="L3" s="80">
        <v>8</v>
      </c>
      <c r="M3" s="80">
        <v>8</v>
      </c>
      <c r="N3" s="111" t="s">
        <v>138</v>
      </c>
      <c r="O3" s="111" t="s">
        <v>138</v>
      </c>
      <c r="P3" s="80">
        <v>8</v>
      </c>
      <c r="Q3" s="80">
        <f>COUNTIF(B3:P3,8)</f>
        <v>11</v>
      </c>
      <c r="R3" s="80">
        <f>COUNTIF(B3:P3,"б")</f>
        <v>0</v>
      </c>
      <c r="S3" s="80">
        <f>COUNTIF(B3:P3,"н")</f>
        <v>0</v>
      </c>
    </row>
    <row r="4" spans="1:19" ht="16.5">
      <c r="A4" s="79" t="s">
        <v>35</v>
      </c>
      <c r="B4" s="80">
        <v>8</v>
      </c>
      <c r="C4" s="80">
        <v>8</v>
      </c>
      <c r="D4" s="80" t="s">
        <v>139</v>
      </c>
      <c r="E4" s="80" t="s">
        <v>139</v>
      </c>
      <c r="F4" s="80" t="s">
        <v>139</v>
      </c>
      <c r="G4" s="111" t="s">
        <v>138</v>
      </c>
      <c r="H4" s="111" t="s">
        <v>138</v>
      </c>
      <c r="I4" s="80">
        <v>8</v>
      </c>
      <c r="J4" s="80">
        <v>8</v>
      </c>
      <c r="K4" s="80">
        <v>8</v>
      </c>
      <c r="L4" s="80">
        <v>8</v>
      </c>
      <c r="M4" s="80">
        <v>8</v>
      </c>
      <c r="N4" s="111" t="s">
        <v>138</v>
      </c>
      <c r="O4" s="111" t="s">
        <v>138</v>
      </c>
      <c r="P4" s="80">
        <v>8</v>
      </c>
      <c r="Q4" s="80">
        <f t="shared" ref="Q4:Q6" si="0">COUNTIF(B4:P4,8)</f>
        <v>8</v>
      </c>
      <c r="R4" s="80">
        <f t="shared" ref="R4:R6" si="1">COUNTIF(B4:P4,"б")</f>
        <v>3</v>
      </c>
      <c r="S4" s="80">
        <f t="shared" ref="S4:S6" si="2">COUNTIF(B4:P4,"н")</f>
        <v>0</v>
      </c>
    </row>
    <row r="5" spans="1:19" ht="16.5">
      <c r="A5" s="79" t="s">
        <v>36</v>
      </c>
      <c r="B5" s="80">
        <v>8</v>
      </c>
      <c r="C5" s="80">
        <v>8</v>
      </c>
      <c r="D5" s="80">
        <v>8</v>
      </c>
      <c r="E5" s="80">
        <v>8</v>
      </c>
      <c r="F5" s="80">
        <v>8</v>
      </c>
      <c r="G5" s="111" t="s">
        <v>138</v>
      </c>
      <c r="H5" s="111" t="s">
        <v>138</v>
      </c>
      <c r="I5" s="80" t="s">
        <v>140</v>
      </c>
      <c r="J5" s="80" t="s">
        <v>140</v>
      </c>
      <c r="K5" s="80">
        <v>8</v>
      </c>
      <c r="L5" s="80">
        <v>8</v>
      </c>
      <c r="M5" s="80">
        <v>8</v>
      </c>
      <c r="N5" s="111" t="s">
        <v>138</v>
      </c>
      <c r="O5" s="111" t="s">
        <v>138</v>
      </c>
      <c r="P5" s="80">
        <v>8</v>
      </c>
      <c r="Q5" s="80">
        <f t="shared" si="0"/>
        <v>9</v>
      </c>
      <c r="R5" s="80">
        <f t="shared" si="1"/>
        <v>0</v>
      </c>
      <c r="S5" s="80">
        <f t="shared" si="2"/>
        <v>2</v>
      </c>
    </row>
    <row r="6" spans="1:19" ht="16.5">
      <c r="A6" s="79" t="s">
        <v>37</v>
      </c>
      <c r="B6" s="80">
        <v>8</v>
      </c>
      <c r="C6" s="80">
        <v>8</v>
      </c>
      <c r="D6" s="80">
        <v>8</v>
      </c>
      <c r="E6" s="80" t="s">
        <v>139</v>
      </c>
      <c r="F6" s="80" t="s">
        <v>139</v>
      </c>
      <c r="G6" s="111" t="s">
        <v>138</v>
      </c>
      <c r="H6" s="111" t="s">
        <v>138</v>
      </c>
      <c r="I6" s="80" t="s">
        <v>139</v>
      </c>
      <c r="J6" s="80" t="s">
        <v>140</v>
      </c>
      <c r="K6" s="80" t="s">
        <v>140</v>
      </c>
      <c r="L6" s="80">
        <v>8</v>
      </c>
      <c r="M6" s="80">
        <v>8</v>
      </c>
      <c r="N6" s="111" t="s">
        <v>138</v>
      </c>
      <c r="O6" s="111" t="s">
        <v>138</v>
      </c>
      <c r="P6" s="80">
        <v>8</v>
      </c>
      <c r="Q6" s="80">
        <f t="shared" si="0"/>
        <v>6</v>
      </c>
      <c r="R6" s="80">
        <f t="shared" si="1"/>
        <v>3</v>
      </c>
      <c r="S6" s="80">
        <f t="shared" si="2"/>
        <v>2</v>
      </c>
    </row>
  </sheetData>
  <mergeCells count="1">
    <mergeCell ref="A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G16"/>
  <sheetViews>
    <sheetView workbookViewId="0">
      <selection activeCell="F7" sqref="F7"/>
    </sheetView>
  </sheetViews>
  <sheetFormatPr defaultRowHeight="15"/>
  <cols>
    <col min="1" max="4" width="14.85546875" customWidth="1"/>
    <col min="5" max="5" width="13.7109375" customWidth="1"/>
    <col min="6" max="6" width="22.85546875" customWidth="1"/>
  </cols>
  <sheetData>
    <row r="2" spans="1:7">
      <c r="A2" s="204" t="s">
        <v>143</v>
      </c>
      <c r="B2" s="204"/>
      <c r="C2" s="204"/>
      <c r="D2" s="204"/>
      <c r="E2" s="204"/>
    </row>
    <row r="3" spans="1:7">
      <c r="A3" s="205" t="s">
        <v>144</v>
      </c>
      <c r="B3" s="206"/>
      <c r="C3" s="82">
        <v>30</v>
      </c>
      <c r="D3" s="82"/>
      <c r="E3" s="83"/>
    </row>
    <row r="4" spans="1:7">
      <c r="A4" s="207" t="s">
        <v>145</v>
      </c>
      <c r="B4" s="204"/>
      <c r="C4" s="84">
        <v>20</v>
      </c>
      <c r="D4" s="84"/>
      <c r="E4" s="85"/>
    </row>
    <row r="5" spans="1:7" ht="15.75" thickBot="1">
      <c r="A5" s="208" t="s">
        <v>146</v>
      </c>
      <c r="B5" s="209"/>
      <c r="C5" s="86">
        <v>15</v>
      </c>
      <c r="D5" s="86"/>
      <c r="E5" s="87"/>
    </row>
    <row r="6" spans="1:7" ht="60.75" thickBot="1">
      <c r="A6" s="88" t="s">
        <v>134</v>
      </c>
      <c r="B6" s="89" t="s">
        <v>147</v>
      </c>
      <c r="C6" s="90" t="s">
        <v>148</v>
      </c>
      <c r="D6" s="90" t="s">
        <v>149</v>
      </c>
      <c r="E6" s="90" t="s">
        <v>150</v>
      </c>
    </row>
    <row r="7" spans="1:7" ht="15.75" thickBot="1">
      <c r="A7" s="91" t="str">
        <f>Табель!A3</f>
        <v>Андреев</v>
      </c>
      <c r="B7" s="92">
        <f>$C$3*Табель!Q3</f>
        <v>330</v>
      </c>
      <c r="C7" s="92">
        <f>$C$4*Табель!R3</f>
        <v>0</v>
      </c>
      <c r="D7" s="92">
        <f>$C$5*Табель!S3</f>
        <v>0</v>
      </c>
      <c r="E7" s="92">
        <f>B7+C7-D7</f>
        <v>330</v>
      </c>
      <c r="F7" s="93">
        <f>IF(E7&gt;300,E7+E7*10%,IF(E7&lt;200,"ВЫГОВОР","ГРАМОТА"))</f>
        <v>363</v>
      </c>
    </row>
    <row r="8" spans="1:7" ht="15.75" thickBot="1">
      <c r="A8" s="91" t="str">
        <f>Табель!A4</f>
        <v>Иванов</v>
      </c>
      <c r="B8" s="92">
        <f>$C$3*Табель!Q4</f>
        <v>240</v>
      </c>
      <c r="C8" s="92">
        <f>$C$4*Табель!R4</f>
        <v>60</v>
      </c>
      <c r="D8" s="92">
        <f>$C$5*Табель!S4</f>
        <v>0</v>
      </c>
      <c r="E8" s="92">
        <f t="shared" ref="E8:E10" si="0">B8+C8-D8</f>
        <v>300</v>
      </c>
      <c r="F8" s="93" t="str">
        <f t="shared" ref="F8:F10" si="1">IF(E8&gt;300,E8+E8*10%,IF(E8&lt;200,"ВЫГОВОР","ГРАМОТА"))</f>
        <v>ГРАМОТА</v>
      </c>
    </row>
    <row r="9" spans="1:7" ht="15.75" thickBot="1">
      <c r="A9" s="91" t="str">
        <f>Табель!A5</f>
        <v>Петров</v>
      </c>
      <c r="B9" s="92">
        <f>$C$3*Табель!Q5</f>
        <v>270</v>
      </c>
      <c r="C9" s="92">
        <f>$C$4*Табель!R5</f>
        <v>0</v>
      </c>
      <c r="D9" s="92">
        <f>$C$5*Табель!S5</f>
        <v>30</v>
      </c>
      <c r="E9" s="92">
        <f t="shared" si="0"/>
        <v>240</v>
      </c>
      <c r="F9" s="93" t="str">
        <f t="shared" si="1"/>
        <v>ГРАМОТА</v>
      </c>
    </row>
    <row r="10" spans="1:7" ht="15.75" thickBot="1">
      <c r="A10" s="91" t="str">
        <f>Табель!A6</f>
        <v>Сидоров</v>
      </c>
      <c r="B10" s="92">
        <f>$C$3*Табель!Q6</f>
        <v>180</v>
      </c>
      <c r="C10" s="92">
        <f>$C$4*Табель!R6</f>
        <v>60</v>
      </c>
      <c r="D10" s="92">
        <f>$C$5*Табель!S6</f>
        <v>30</v>
      </c>
      <c r="E10" s="92">
        <f t="shared" si="0"/>
        <v>210</v>
      </c>
      <c r="F10" s="93" t="str">
        <f t="shared" si="1"/>
        <v>ГРАМОТА</v>
      </c>
    </row>
    <row r="11" spans="1:7" ht="15.75" thickBot="1">
      <c r="A11" s="94" t="s">
        <v>34</v>
      </c>
      <c r="B11" s="92">
        <f>SUM(B7:B10)</f>
        <v>1020</v>
      </c>
      <c r="C11" s="92">
        <f t="shared" ref="C11:E11" si="2">SUM(C7:C10)</f>
        <v>120</v>
      </c>
      <c r="D11" s="95">
        <f t="shared" si="2"/>
        <v>60</v>
      </c>
      <c r="E11" s="92">
        <f t="shared" si="2"/>
        <v>1080</v>
      </c>
    </row>
    <row r="14" spans="1:7" ht="15.75" thickBot="1"/>
    <row r="15" spans="1:7" ht="16.5" thickTop="1" thickBot="1">
      <c r="G15" s="96"/>
    </row>
    <row r="16" spans="1:7" ht="15.75" thickTop="1"/>
  </sheetData>
  <mergeCells count="4">
    <mergeCell ref="A2:E2"/>
    <mergeCell ref="A3:B3"/>
    <mergeCell ref="A4:B4"/>
    <mergeCell ref="A5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5" sqref="E15"/>
    </sheetView>
  </sheetViews>
  <sheetFormatPr defaultRowHeight="15"/>
  <cols>
    <col min="1" max="1" width="7.140625" style="101" customWidth="1"/>
    <col min="2" max="2" width="16.28515625" style="97" customWidth="1"/>
    <col min="3" max="3" width="22" style="97" customWidth="1"/>
    <col min="4" max="4" width="21.140625" style="97" customWidth="1"/>
    <col min="5" max="5" width="19.140625" style="97" customWidth="1"/>
    <col min="6" max="16384" width="9.140625" style="97"/>
  </cols>
  <sheetData>
    <row r="1" spans="1:5">
      <c r="A1" s="112" t="s">
        <v>42</v>
      </c>
      <c r="B1" s="113" t="s">
        <v>185</v>
      </c>
      <c r="C1" s="113" t="s">
        <v>186</v>
      </c>
      <c r="D1" s="113" t="s">
        <v>187</v>
      </c>
      <c r="E1" s="114" t="s">
        <v>188</v>
      </c>
    </row>
    <row r="2" spans="1:5">
      <c r="A2" s="115">
        <v>1</v>
      </c>
      <c r="B2" s="99" t="s">
        <v>189</v>
      </c>
      <c r="C2" s="99" t="s">
        <v>190</v>
      </c>
      <c r="D2" s="99" t="s">
        <v>191</v>
      </c>
      <c r="E2" s="116">
        <v>1</v>
      </c>
    </row>
    <row r="3" spans="1:5">
      <c r="A3" s="115">
        <v>2</v>
      </c>
      <c r="B3" s="99" t="s">
        <v>189</v>
      </c>
      <c r="C3" s="99" t="s">
        <v>192</v>
      </c>
      <c r="D3" s="99" t="s">
        <v>191</v>
      </c>
      <c r="E3" s="116">
        <v>1</v>
      </c>
    </row>
    <row r="4" spans="1:5">
      <c r="A4" s="115">
        <v>3</v>
      </c>
      <c r="B4" s="99" t="s">
        <v>193</v>
      </c>
      <c r="C4" s="99" t="s">
        <v>194</v>
      </c>
      <c r="D4" s="99" t="s">
        <v>191</v>
      </c>
      <c r="E4" s="116">
        <v>1</v>
      </c>
    </row>
    <row r="5" spans="1:5">
      <c r="A5" s="115">
        <v>4</v>
      </c>
      <c r="B5" s="99" t="s">
        <v>195</v>
      </c>
      <c r="C5" s="99" t="s">
        <v>196</v>
      </c>
      <c r="D5" s="99" t="s">
        <v>191</v>
      </c>
      <c r="E5" s="116">
        <v>3</v>
      </c>
    </row>
    <row r="6" spans="1:5">
      <c r="A6" s="115">
        <v>5</v>
      </c>
      <c r="B6" s="99" t="s">
        <v>197</v>
      </c>
      <c r="C6" s="99" t="s">
        <v>198</v>
      </c>
      <c r="D6" s="99" t="s">
        <v>191</v>
      </c>
      <c r="E6" s="116">
        <v>3</v>
      </c>
    </row>
    <row r="7" spans="1:5">
      <c r="A7" s="115">
        <v>6</v>
      </c>
      <c r="B7" s="99" t="s">
        <v>199</v>
      </c>
      <c r="C7" s="99" t="s">
        <v>200</v>
      </c>
      <c r="D7" s="99" t="s">
        <v>201</v>
      </c>
      <c r="E7" s="116">
        <v>1</v>
      </c>
    </row>
    <row r="8" spans="1:5">
      <c r="A8" s="115">
        <v>7</v>
      </c>
      <c r="B8" s="99" t="s">
        <v>199</v>
      </c>
      <c r="C8" s="99" t="s">
        <v>202</v>
      </c>
      <c r="D8" s="99" t="s">
        <v>201</v>
      </c>
      <c r="E8" s="116">
        <v>1</v>
      </c>
    </row>
    <row r="9" spans="1:5">
      <c r="A9" s="115">
        <v>8</v>
      </c>
      <c r="B9" s="99" t="s">
        <v>199</v>
      </c>
      <c r="C9" s="99" t="s">
        <v>203</v>
      </c>
      <c r="D9" s="99" t="s">
        <v>201</v>
      </c>
      <c r="E9" s="116">
        <v>3</v>
      </c>
    </row>
    <row r="10" spans="1:5">
      <c r="A10" s="115">
        <v>9</v>
      </c>
      <c r="B10" s="99" t="s">
        <v>204</v>
      </c>
      <c r="C10" s="99" t="s">
        <v>205</v>
      </c>
      <c r="D10" s="99" t="s">
        <v>191</v>
      </c>
      <c r="E10" s="116">
        <v>4</v>
      </c>
    </row>
    <row r="11" spans="1:5">
      <c r="A11" s="115">
        <v>10</v>
      </c>
      <c r="B11" s="99" t="s">
        <v>206</v>
      </c>
      <c r="C11" s="99" t="s">
        <v>207</v>
      </c>
      <c r="D11" s="99" t="s">
        <v>191</v>
      </c>
      <c r="E11" s="116">
        <v>3</v>
      </c>
    </row>
    <row r="12" spans="1:5">
      <c r="A12" s="115">
        <v>11</v>
      </c>
      <c r="B12" s="99" t="s">
        <v>208</v>
      </c>
      <c r="C12" s="99" t="s">
        <v>209</v>
      </c>
      <c r="D12" s="99" t="str">
        <f>D9</f>
        <v>Повесть</v>
      </c>
      <c r="E12" s="116">
        <v>3</v>
      </c>
    </row>
    <row r="13" spans="1:5">
      <c r="A13" s="115">
        <v>12</v>
      </c>
      <c r="B13" s="99" t="s">
        <v>208</v>
      </c>
      <c r="C13" s="99" t="s">
        <v>210</v>
      </c>
      <c r="D13" s="99" t="s">
        <v>191</v>
      </c>
      <c r="E13" s="116">
        <v>2</v>
      </c>
    </row>
    <row r="14" spans="1:5">
      <c r="A14" s="115">
        <v>13</v>
      </c>
      <c r="B14" s="99" t="s">
        <v>208</v>
      </c>
      <c r="C14" s="99" t="s">
        <v>211</v>
      </c>
      <c r="D14" s="99" t="s">
        <v>191</v>
      </c>
      <c r="E14" s="116">
        <v>4</v>
      </c>
    </row>
    <row r="15" spans="1:5">
      <c r="A15" s="115">
        <v>14</v>
      </c>
      <c r="B15" s="99" t="s">
        <v>212</v>
      </c>
      <c r="C15" s="99" t="s">
        <v>213</v>
      </c>
      <c r="D15" s="99" t="str">
        <f>D12</f>
        <v>Повесть</v>
      </c>
      <c r="E15" s="116">
        <v>2</v>
      </c>
    </row>
    <row r="16" spans="1:5">
      <c r="A16" s="115">
        <v>15</v>
      </c>
      <c r="B16" s="99" t="s">
        <v>214</v>
      </c>
      <c r="C16" s="99" t="s">
        <v>215</v>
      </c>
      <c r="D16" s="99" t="s">
        <v>191</v>
      </c>
      <c r="E16" s="116">
        <v>4</v>
      </c>
    </row>
    <row r="17" spans="1:5" ht="15.75" thickBot="1">
      <c r="A17" s="117">
        <v>16</v>
      </c>
      <c r="B17" s="118" t="s">
        <v>214</v>
      </c>
      <c r="C17" s="118" t="s">
        <v>216</v>
      </c>
      <c r="D17" s="99" t="s">
        <v>191</v>
      </c>
      <c r="E17" s="119">
        <v>4</v>
      </c>
    </row>
  </sheetData>
  <autoFilter ref="A1:E1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8" sqref="B8"/>
    </sheetView>
  </sheetViews>
  <sheetFormatPr defaultRowHeight="15"/>
  <cols>
    <col min="1" max="1" width="15.28515625" bestFit="1" customWidth="1"/>
    <col min="2" max="2" width="7.140625" bestFit="1" customWidth="1"/>
    <col min="3" max="3" width="13.140625" bestFit="1" customWidth="1"/>
    <col min="4" max="4" width="15.7109375" bestFit="1" customWidth="1"/>
    <col min="5" max="5" width="13" bestFit="1" customWidth="1"/>
    <col min="6" max="6" width="11.140625" bestFit="1" customWidth="1"/>
    <col min="7" max="7" width="11.28515625" bestFit="1" customWidth="1"/>
  </cols>
  <sheetData>
    <row r="1" spans="1:7" ht="21">
      <c r="A1" s="140" t="s">
        <v>27</v>
      </c>
      <c r="B1" s="140"/>
      <c r="C1" s="140"/>
      <c r="D1" s="140"/>
      <c r="E1" s="140"/>
      <c r="F1" s="140"/>
      <c r="G1" s="140"/>
    </row>
    <row r="2" spans="1:7" ht="15.75">
      <c r="A2" s="3" t="s">
        <v>28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33</v>
      </c>
      <c r="G2" s="3" t="s">
        <v>34</v>
      </c>
    </row>
    <row r="3" spans="1:7" ht="15.75">
      <c r="A3" s="3" t="s">
        <v>35</v>
      </c>
      <c r="B3" s="3">
        <v>4000</v>
      </c>
      <c r="C3" s="3">
        <f>B3*25%</f>
        <v>1000</v>
      </c>
      <c r="D3" s="3">
        <f>(B3+C3)*15%</f>
        <v>750</v>
      </c>
      <c r="E3" s="3">
        <f>B3+C3+D3</f>
        <v>5750</v>
      </c>
      <c r="F3" s="3">
        <f>E3*13%</f>
        <v>747.5</v>
      </c>
      <c r="G3" s="3">
        <f>E3-F3</f>
        <v>5002.5</v>
      </c>
    </row>
    <row r="4" spans="1:7" ht="15.75">
      <c r="A4" s="3" t="s">
        <v>36</v>
      </c>
      <c r="B4" s="3">
        <v>3500</v>
      </c>
      <c r="C4" s="3">
        <f t="shared" ref="C4:C7" si="0">B4*25%</f>
        <v>875</v>
      </c>
      <c r="D4" s="3">
        <f t="shared" ref="D4:D7" si="1">(B4+C4)*15%</f>
        <v>656.25</v>
      </c>
      <c r="E4" s="3">
        <f t="shared" ref="E4:E7" si="2">B4+C4+D4</f>
        <v>5031.25</v>
      </c>
      <c r="F4" s="3">
        <f t="shared" ref="F4:F7" si="3">E4*13%</f>
        <v>654.0625</v>
      </c>
      <c r="G4" s="3">
        <f t="shared" ref="G4:G7" si="4">E4-F4</f>
        <v>4377.1875</v>
      </c>
    </row>
    <row r="5" spans="1:7" ht="15.75">
      <c r="A5" s="3" t="s">
        <v>37</v>
      </c>
      <c r="B5" s="3">
        <v>6000</v>
      </c>
      <c r="C5" s="3">
        <f t="shared" si="0"/>
        <v>1500</v>
      </c>
      <c r="D5" s="3">
        <f t="shared" si="1"/>
        <v>1125</v>
      </c>
      <c r="E5" s="3">
        <f t="shared" si="2"/>
        <v>8625</v>
      </c>
      <c r="F5" s="3">
        <f t="shared" si="3"/>
        <v>1121.25</v>
      </c>
      <c r="G5" s="3">
        <f t="shared" si="4"/>
        <v>7503.75</v>
      </c>
    </row>
    <row r="6" spans="1:7" ht="15.75">
      <c r="A6" s="3" t="s">
        <v>38</v>
      </c>
      <c r="B6" s="3">
        <v>4500</v>
      </c>
      <c r="C6" s="3">
        <f t="shared" si="0"/>
        <v>1125</v>
      </c>
      <c r="D6" s="3">
        <f t="shared" si="1"/>
        <v>843.75</v>
      </c>
      <c r="E6" s="3">
        <f t="shared" si="2"/>
        <v>6468.75</v>
      </c>
      <c r="F6" s="3">
        <f t="shared" si="3"/>
        <v>840.9375</v>
      </c>
      <c r="G6" s="3">
        <f t="shared" si="4"/>
        <v>5627.8125</v>
      </c>
    </row>
    <row r="7" spans="1:7" ht="15.75">
      <c r="A7" s="3" t="s">
        <v>39</v>
      </c>
      <c r="B7" s="3">
        <v>3000</v>
      </c>
      <c r="C7" s="3">
        <f t="shared" si="0"/>
        <v>750</v>
      </c>
      <c r="D7" s="3">
        <f t="shared" si="1"/>
        <v>562.5</v>
      </c>
      <c r="E7" s="3">
        <f t="shared" si="2"/>
        <v>4312.5</v>
      </c>
      <c r="F7" s="3">
        <f t="shared" si="3"/>
        <v>560.625</v>
      </c>
      <c r="G7" s="3">
        <f t="shared" si="4"/>
        <v>3751.875</v>
      </c>
    </row>
    <row r="8" spans="1:7" ht="15.75">
      <c r="A8" s="3" t="s">
        <v>40</v>
      </c>
      <c r="B8" s="3">
        <f>SUM(B3:B7)</f>
        <v>21000</v>
      </c>
      <c r="C8" s="3">
        <f>SUM(C3:C7)</f>
        <v>5250</v>
      </c>
      <c r="D8" s="3">
        <f>SUM(D3:D7)</f>
        <v>3937.5</v>
      </c>
      <c r="E8" s="3">
        <f>SUM(E3:E7)</f>
        <v>30187.5</v>
      </c>
      <c r="F8" s="3">
        <f t="shared" ref="F8:G8" si="5">SUM(F3:F7)</f>
        <v>3924.375</v>
      </c>
      <c r="G8" s="3">
        <f t="shared" si="5"/>
        <v>26263.125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8"/>
  <sheetViews>
    <sheetView workbookViewId="0"/>
  </sheetViews>
  <sheetFormatPr defaultRowHeight="15"/>
  <cols>
    <col min="1" max="1" width="17.28515625" style="97" customWidth="1"/>
    <col min="2" max="2" width="9.140625" style="97"/>
    <col min="3" max="3" width="19" style="97" bestFit="1" customWidth="1"/>
    <col min="4" max="4" width="19.140625" style="97" bestFit="1" customWidth="1"/>
    <col min="5" max="5" width="18.42578125" style="97" customWidth="1"/>
    <col min="6" max="16384" width="9.140625" style="97"/>
  </cols>
  <sheetData>
    <row r="1" spans="1:5" ht="36" customHeight="1" thickBot="1">
      <c r="A1" s="122" t="s">
        <v>134</v>
      </c>
      <c r="B1" s="122" t="s">
        <v>217</v>
      </c>
      <c r="C1" s="122" t="s">
        <v>218</v>
      </c>
      <c r="D1" s="122" t="s">
        <v>219</v>
      </c>
      <c r="E1" s="123" t="s">
        <v>220</v>
      </c>
    </row>
    <row r="2" spans="1:5" ht="32.25" thickBot="1">
      <c r="A2" s="120" t="s">
        <v>236</v>
      </c>
      <c r="B2" s="121" t="s">
        <v>226</v>
      </c>
      <c r="C2" s="126" t="s">
        <v>237</v>
      </c>
      <c r="D2" s="125" t="s">
        <v>224</v>
      </c>
      <c r="E2" s="124">
        <f>DATE(1961,9,26)</f>
        <v>22550</v>
      </c>
    </row>
    <row r="3" spans="1:5" ht="30.75" thickBot="1">
      <c r="A3" s="120" t="s">
        <v>225</v>
      </c>
      <c r="B3" s="121" t="s">
        <v>226</v>
      </c>
      <c r="C3" s="125" t="s">
        <v>227</v>
      </c>
      <c r="D3" s="125" t="s">
        <v>228</v>
      </c>
      <c r="E3" s="124">
        <f>DATE(1967,9,3)</f>
        <v>24718</v>
      </c>
    </row>
    <row r="4" spans="1:5" ht="30.75" thickBot="1">
      <c r="A4" s="120" t="s">
        <v>238</v>
      </c>
      <c r="B4" s="121" t="s">
        <v>222</v>
      </c>
      <c r="C4" s="125" t="s">
        <v>227</v>
      </c>
      <c r="D4" s="125" t="s">
        <v>235</v>
      </c>
      <c r="E4" s="124">
        <f>DATE(1965,4,4)</f>
        <v>23836</v>
      </c>
    </row>
    <row r="5" spans="1:5" ht="30.75" thickBot="1">
      <c r="A5" s="120" t="s">
        <v>232</v>
      </c>
      <c r="B5" s="121" t="s">
        <v>226</v>
      </c>
      <c r="C5" s="125" t="s">
        <v>227</v>
      </c>
      <c r="D5" s="125" t="s">
        <v>228</v>
      </c>
      <c r="E5" s="124">
        <f>DATE(1975,12,12)</f>
        <v>27740</v>
      </c>
    </row>
    <row r="6" spans="1:5" ht="30.75" thickBot="1">
      <c r="A6" s="120" t="s">
        <v>221</v>
      </c>
      <c r="B6" s="121" t="s">
        <v>222</v>
      </c>
      <c r="C6" s="125" t="s">
        <v>223</v>
      </c>
      <c r="D6" s="125" t="s">
        <v>224</v>
      </c>
      <c r="E6" s="124">
        <f>DATE(1982,5,26)</f>
        <v>30097</v>
      </c>
    </row>
    <row r="7" spans="1:5" ht="30.75" thickBot="1">
      <c r="A7" s="120" t="s">
        <v>229</v>
      </c>
      <c r="B7" s="121" t="s">
        <v>226</v>
      </c>
      <c r="C7" s="125" t="s">
        <v>230</v>
      </c>
      <c r="D7" s="125" t="s">
        <v>231</v>
      </c>
      <c r="E7" s="124">
        <f>DATE(1954,7,6)</f>
        <v>19911</v>
      </c>
    </row>
    <row r="8" spans="1:5" ht="30.75" thickBot="1">
      <c r="A8" s="120" t="s">
        <v>233</v>
      </c>
      <c r="B8" s="121" t="s">
        <v>222</v>
      </c>
      <c r="C8" s="125" t="s">
        <v>234</v>
      </c>
      <c r="D8" s="125" t="s">
        <v>235</v>
      </c>
      <c r="E8" s="124">
        <f>DATE(1979,7,5)</f>
        <v>29041</v>
      </c>
    </row>
  </sheetData>
  <autoFilter ref="A1:E9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1:M14"/>
  <sheetViews>
    <sheetView tabSelected="1" workbookViewId="0">
      <selection activeCell="J9" sqref="J9"/>
    </sheetView>
  </sheetViews>
  <sheetFormatPr defaultRowHeight="27.75" customHeight="1"/>
  <cols>
    <col min="1" max="1" width="9.140625" style="97"/>
    <col min="2" max="2" width="12.42578125" style="97" customWidth="1"/>
    <col min="3" max="6" width="9.140625" style="97"/>
    <col min="7" max="7" width="12" style="97" customWidth="1"/>
    <col min="8" max="8" width="13.28515625" style="97" customWidth="1"/>
    <col min="9" max="9" width="9.140625" style="97"/>
    <col min="10" max="10" width="13.140625" style="97" customWidth="1"/>
    <col min="11" max="11" width="9.140625" style="101"/>
    <col min="12" max="16384" width="9.140625" style="97"/>
  </cols>
  <sheetData>
    <row r="1" spans="2:13" ht="27.75" customHeight="1" thickBot="1"/>
    <row r="2" spans="2:13" ht="27.75" customHeight="1" thickTop="1">
      <c r="B2" s="135" t="s">
        <v>239</v>
      </c>
      <c r="C2" s="136" t="s">
        <v>240</v>
      </c>
      <c r="D2" s="136" t="s">
        <v>241</v>
      </c>
      <c r="E2" s="136" t="s">
        <v>242</v>
      </c>
      <c r="F2" s="136" t="s">
        <v>243</v>
      </c>
      <c r="G2" s="136" t="s">
        <v>244</v>
      </c>
      <c r="H2" s="136" t="s">
        <v>245</v>
      </c>
      <c r="I2" s="136" t="s">
        <v>246</v>
      </c>
      <c r="J2" s="137" t="s">
        <v>247</v>
      </c>
    </row>
    <row r="3" spans="2:13" ht="27.75" customHeight="1">
      <c r="B3" s="127">
        <v>10</v>
      </c>
      <c r="C3" s="128">
        <v>100</v>
      </c>
      <c r="D3" s="128">
        <f>LOG(C3,B3)</f>
        <v>2</v>
      </c>
      <c r="E3" s="128">
        <f>SIN(D3)</f>
        <v>0.90929742682568171</v>
      </c>
      <c r="F3" s="128">
        <f>COS(D3)</f>
        <v>-0.41614683654714241</v>
      </c>
      <c r="G3" s="128">
        <f>E3/F3</f>
        <v>-2.1850398632615189</v>
      </c>
      <c r="H3" s="128">
        <f>F3/E3</f>
        <v>-0.45765755436028577</v>
      </c>
      <c r="I3" s="129">
        <f>G3*H3</f>
        <v>1</v>
      </c>
      <c r="J3" s="130" t="str">
        <f>IF(I3=1,"Верно","Ошибка")</f>
        <v>Верно</v>
      </c>
      <c r="K3" s="101" t="str">
        <f>IF(I3&gt;4,Отлично,IF(I3=3,"удовлетворительнор",IF(I3&lt;2,"ужас","кошмар")))</f>
        <v>ужас</v>
      </c>
    </row>
    <row r="4" spans="2:13" ht="27.75" customHeight="1">
      <c r="B4" s="127">
        <v>10</v>
      </c>
      <c r="C4" s="128">
        <v>100</v>
      </c>
      <c r="D4" s="128">
        <f t="shared" ref="D4:D13" si="0">LOG(C4,B4)</f>
        <v>2</v>
      </c>
      <c r="E4" s="128">
        <f t="shared" ref="E4:E13" si="1">SIN(D4)</f>
        <v>0.90929742682568171</v>
      </c>
      <c r="F4" s="128">
        <f t="shared" ref="F4:F13" si="2">COS(D4)</f>
        <v>-0.41614683654714241</v>
      </c>
      <c r="G4" s="128">
        <f t="shared" ref="G4:G13" si="3">E4/F4</f>
        <v>-2.1850398632615189</v>
      </c>
      <c r="H4" s="128">
        <f t="shared" ref="H4:H13" si="4">F4/E4</f>
        <v>-0.45765755436028577</v>
      </c>
      <c r="I4" s="129">
        <f t="shared" ref="I4:I13" si="5">G4*H4</f>
        <v>1</v>
      </c>
      <c r="J4" s="130" t="str">
        <f t="shared" ref="J4:J13" si="6">IF(I4=1,"Верно","Ошибка")</f>
        <v>Верно</v>
      </c>
      <c r="K4" s="101" t="str">
        <f t="shared" ref="K4:K13" si="7">IF(I4&gt;4,Отлично,IF(I4=3,"удовлетворительнор",IF(I4&lt;2,"ужас","кошмар")))</f>
        <v>ужас</v>
      </c>
    </row>
    <row r="5" spans="2:13" ht="27.75" customHeight="1">
      <c r="B5" s="127">
        <v>5</v>
      </c>
      <c r="C5" s="128">
        <v>125</v>
      </c>
      <c r="D5" s="128">
        <f t="shared" si="0"/>
        <v>3.0000000000000004</v>
      </c>
      <c r="E5" s="128">
        <f t="shared" si="1"/>
        <v>0.14112000805986677</v>
      </c>
      <c r="F5" s="128">
        <f t="shared" si="2"/>
        <v>-0.98999249660044553</v>
      </c>
      <c r="G5" s="128">
        <f t="shared" si="3"/>
        <v>-0.14254654307427733</v>
      </c>
      <c r="H5" s="128">
        <f t="shared" si="4"/>
        <v>-7.0152525514345561</v>
      </c>
      <c r="I5" s="129">
        <f t="shared" si="5"/>
        <v>0.99999999999999989</v>
      </c>
      <c r="J5" s="130" t="str">
        <f t="shared" si="6"/>
        <v>Верно</v>
      </c>
      <c r="K5" s="101" t="str">
        <f t="shared" si="7"/>
        <v>ужас</v>
      </c>
    </row>
    <row r="6" spans="2:13" ht="27.75" customHeight="1">
      <c r="B6" s="127">
        <v>2</v>
      </c>
      <c r="C6" s="128">
        <v>8</v>
      </c>
      <c r="D6" s="128">
        <f t="shared" si="0"/>
        <v>3</v>
      </c>
      <c r="E6" s="128">
        <f t="shared" si="1"/>
        <v>0.14112000805986721</v>
      </c>
      <c r="F6" s="128">
        <f t="shared" si="2"/>
        <v>-0.98999249660044542</v>
      </c>
      <c r="G6" s="128">
        <f t="shared" si="3"/>
        <v>-0.1425465430742778</v>
      </c>
      <c r="H6" s="128">
        <f t="shared" si="4"/>
        <v>-7.0152525514345339</v>
      </c>
      <c r="I6" s="129">
        <f t="shared" si="5"/>
        <v>1</v>
      </c>
      <c r="J6" s="130" t="str">
        <f t="shared" si="6"/>
        <v>Верно</v>
      </c>
      <c r="K6" s="101" t="str">
        <f t="shared" si="7"/>
        <v>ужас</v>
      </c>
    </row>
    <row r="7" spans="2:13" ht="27.75" customHeight="1">
      <c r="B7" s="127">
        <v>4</v>
      </c>
      <c r="C7" s="128">
        <v>15</v>
      </c>
      <c r="D7" s="128">
        <f t="shared" si="0"/>
        <v>1.9534452978042594</v>
      </c>
      <c r="E7" s="128">
        <f t="shared" si="1"/>
        <v>0.92767882091538256</v>
      </c>
      <c r="F7" s="128">
        <f t="shared" si="2"/>
        <v>-0.37337917085055183</v>
      </c>
      <c r="G7" s="128">
        <f t="shared" si="3"/>
        <v>-2.48454893400225</v>
      </c>
      <c r="H7" s="128">
        <f t="shared" si="4"/>
        <v>-0.40248754464624054</v>
      </c>
      <c r="I7" s="129">
        <f t="shared" si="5"/>
        <v>0.99999999999999989</v>
      </c>
      <c r="J7" s="130" t="str">
        <f t="shared" si="6"/>
        <v>Верно</v>
      </c>
      <c r="K7" s="101" t="str">
        <f t="shared" si="7"/>
        <v>ужас</v>
      </c>
    </row>
    <row r="8" spans="2:13" ht="27.75" customHeight="1">
      <c r="B8" s="127">
        <v>8</v>
      </c>
      <c r="C8" s="128">
        <v>185</v>
      </c>
      <c r="D8" s="128">
        <f t="shared" si="0"/>
        <v>2.5104604868387708</v>
      </c>
      <c r="E8" s="128">
        <f t="shared" si="1"/>
        <v>0.59005920204236317</v>
      </c>
      <c r="F8" s="128">
        <f t="shared" si="2"/>
        <v>-0.80735998048276436</v>
      </c>
      <c r="G8" s="128">
        <f t="shared" si="3"/>
        <v>-0.73085019855645406</v>
      </c>
      <c r="H8" s="128">
        <f t="shared" si="4"/>
        <v>-1.3682694510792497</v>
      </c>
      <c r="I8" s="129">
        <f t="shared" si="5"/>
        <v>1</v>
      </c>
      <c r="J8" s="130" t="str">
        <f t="shared" si="6"/>
        <v>Верно</v>
      </c>
      <c r="K8" s="101" t="str">
        <f t="shared" si="7"/>
        <v>ужас</v>
      </c>
      <c r="M8" s="107"/>
    </row>
    <row r="9" spans="2:13" ht="27.75" customHeight="1">
      <c r="B9" s="127">
        <v>4</v>
      </c>
      <c r="C9" s="128">
        <v>4</v>
      </c>
      <c r="D9" s="128">
        <f t="shared" si="0"/>
        <v>1</v>
      </c>
      <c r="E9" s="128">
        <f t="shared" si="1"/>
        <v>0.8414709848078965</v>
      </c>
      <c r="F9" s="128">
        <f t="shared" si="2"/>
        <v>0.54030230586813977</v>
      </c>
      <c r="G9" s="128">
        <f t="shared" si="3"/>
        <v>1.5574077246549021</v>
      </c>
      <c r="H9" s="128">
        <f t="shared" si="4"/>
        <v>0.64209261593433076</v>
      </c>
      <c r="I9" s="129">
        <f t="shared" si="5"/>
        <v>1</v>
      </c>
      <c r="J9" s="130" t="str">
        <f t="shared" si="6"/>
        <v>Верно</v>
      </c>
      <c r="K9" s="101" t="str">
        <f t="shared" si="7"/>
        <v>ужас</v>
      </c>
      <c r="M9" s="107"/>
    </row>
    <row r="10" spans="2:13" ht="27.75" customHeight="1">
      <c r="B10" s="127">
        <v>5</v>
      </c>
      <c r="C10" s="128">
        <v>14</v>
      </c>
      <c r="D10" s="128">
        <f t="shared" si="0"/>
        <v>1.6397385131955606</v>
      </c>
      <c r="E10" s="128">
        <f t="shared" si="1"/>
        <v>0.99762442861999612</v>
      </c>
      <c r="F10" s="128">
        <f t="shared" si="2"/>
        <v>-6.8887585388270681E-2</v>
      </c>
      <c r="G10" s="128">
        <f t="shared" si="3"/>
        <v>-14.481918955310912</v>
      </c>
      <c r="H10" s="128">
        <f t="shared" si="4"/>
        <v>-6.9051622446296937E-2</v>
      </c>
      <c r="I10" s="129">
        <f t="shared" si="5"/>
        <v>1</v>
      </c>
      <c r="J10" s="130" t="str">
        <f t="shared" si="6"/>
        <v>Верно</v>
      </c>
      <c r="K10" s="101" t="str">
        <f t="shared" si="7"/>
        <v>ужас</v>
      </c>
    </row>
    <row r="11" spans="2:13" ht="27.75" customHeight="1">
      <c r="B11" s="127">
        <v>0.5</v>
      </c>
      <c r="C11" s="128">
        <v>15</v>
      </c>
      <c r="D11" s="128">
        <f t="shared" si="0"/>
        <v>-3.9068905956085187</v>
      </c>
      <c r="E11" s="128">
        <f t="shared" si="1"/>
        <v>0.69275189793800618</v>
      </c>
      <c r="F11" s="128">
        <f t="shared" si="2"/>
        <v>-0.7211759895499088</v>
      </c>
      <c r="G11" s="128">
        <f t="shared" si="3"/>
        <v>-0.96058646984400808</v>
      </c>
      <c r="H11" s="128">
        <f t="shared" si="4"/>
        <v>-1.0410306946780048</v>
      </c>
      <c r="I11" s="129">
        <f t="shared" si="5"/>
        <v>1</v>
      </c>
      <c r="J11" s="130" t="str">
        <f t="shared" si="6"/>
        <v>Верно</v>
      </c>
      <c r="K11" s="101" t="str">
        <f t="shared" si="7"/>
        <v>ужас</v>
      </c>
    </row>
    <row r="12" spans="2:13" ht="27.75" customHeight="1">
      <c r="B12" s="127">
        <v>18</v>
      </c>
      <c r="C12" s="128">
        <v>56</v>
      </c>
      <c r="D12" s="128">
        <f t="shared" si="0"/>
        <v>1.392676108095213</v>
      </c>
      <c r="E12" s="128">
        <f t="shared" si="1"/>
        <v>0.98417849079068176</v>
      </c>
      <c r="F12" s="128">
        <f t="shared" si="2"/>
        <v>0.17717984723149521</v>
      </c>
      <c r="G12" s="128">
        <f t="shared" si="3"/>
        <v>5.5546864170437988</v>
      </c>
      <c r="H12" s="128">
        <f t="shared" si="4"/>
        <v>0.18002816449397327</v>
      </c>
      <c r="I12" s="129">
        <f t="shared" si="5"/>
        <v>1</v>
      </c>
      <c r="J12" s="130" t="str">
        <f t="shared" si="6"/>
        <v>Верно</v>
      </c>
      <c r="K12" s="101" t="str">
        <f t="shared" si="7"/>
        <v>ужас</v>
      </c>
    </row>
    <row r="13" spans="2:13" ht="27.75" customHeight="1" thickBot="1">
      <c r="B13" s="131">
        <v>0.9</v>
      </c>
      <c r="C13" s="132">
        <v>144</v>
      </c>
      <c r="D13" s="133">
        <f t="shared" si="0"/>
        <v>-47.169599242625175</v>
      </c>
      <c r="E13" s="132">
        <f t="shared" si="1"/>
        <v>4.5693523250425389E-2</v>
      </c>
      <c r="F13" s="133">
        <f t="shared" si="2"/>
        <v>-0.99895550548208245</v>
      </c>
      <c r="G13" s="132">
        <f t="shared" si="3"/>
        <v>-4.5741299787295644E-2</v>
      </c>
      <c r="H13" s="133">
        <f t="shared" si="4"/>
        <v>-21.862080978244165</v>
      </c>
      <c r="I13" s="134">
        <f t="shared" si="5"/>
        <v>1</v>
      </c>
      <c r="J13" s="130" t="str">
        <f t="shared" si="6"/>
        <v>Верно</v>
      </c>
      <c r="K13" s="101" t="str">
        <f t="shared" si="7"/>
        <v>ужас</v>
      </c>
    </row>
    <row r="14" spans="2:13" ht="27.75" customHeight="1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5" sqref="D5"/>
    </sheetView>
  </sheetViews>
  <sheetFormatPr defaultRowHeight="15.75"/>
  <cols>
    <col min="1" max="1" width="16.140625" style="1" bestFit="1" customWidth="1"/>
    <col min="2" max="16384" width="9.140625" style="1"/>
  </cols>
  <sheetData>
    <row r="1" spans="1:7" ht="18.75">
      <c r="A1" s="145" t="s">
        <v>15</v>
      </c>
      <c r="B1" s="145"/>
      <c r="C1" s="145"/>
      <c r="D1" s="145"/>
      <c r="E1" s="145"/>
      <c r="F1" s="145"/>
      <c r="G1" s="145"/>
    </row>
    <row r="2" spans="1:7" ht="21">
      <c r="A2" s="146" t="s">
        <v>1</v>
      </c>
      <c r="B2" s="147" t="s">
        <v>16</v>
      </c>
      <c r="C2" s="147"/>
      <c r="D2" s="147"/>
      <c r="E2" s="147"/>
      <c r="F2" s="147"/>
      <c r="G2" s="147"/>
    </row>
    <row r="3" spans="1:7">
      <c r="A3" s="146"/>
      <c r="B3" s="148" t="s">
        <v>17</v>
      </c>
      <c r="C3" s="148"/>
      <c r="D3" s="148"/>
      <c r="E3" s="148" t="s">
        <v>18</v>
      </c>
      <c r="F3" s="148"/>
      <c r="G3" s="148"/>
    </row>
    <row r="4" spans="1:7">
      <c r="A4" s="146"/>
      <c r="B4" s="2" t="s">
        <v>19</v>
      </c>
      <c r="C4" s="2" t="s">
        <v>20</v>
      </c>
      <c r="D4" s="2" t="s">
        <v>21</v>
      </c>
      <c r="E4" s="2" t="s">
        <v>19</v>
      </c>
      <c r="F4" s="2" t="s">
        <v>20</v>
      </c>
      <c r="G4" s="3" t="s">
        <v>21</v>
      </c>
    </row>
    <row r="5" spans="1:7">
      <c r="A5" s="2" t="s">
        <v>22</v>
      </c>
      <c r="B5" s="4">
        <v>0.3</v>
      </c>
      <c r="C5" s="3">
        <v>7.0000000000000007E-2</v>
      </c>
      <c r="D5" s="4">
        <v>40</v>
      </c>
      <c r="E5" s="4">
        <f>B5*10</f>
        <v>3</v>
      </c>
      <c r="F5" s="4">
        <f t="shared" ref="F5:G8" si="0">C5*10</f>
        <v>0.70000000000000007</v>
      </c>
      <c r="G5" s="4">
        <f t="shared" si="0"/>
        <v>400</v>
      </c>
    </row>
    <row r="6" spans="1:7">
      <c r="A6" s="2" t="s">
        <v>23</v>
      </c>
      <c r="B6" s="4">
        <v>2</v>
      </c>
      <c r="C6" s="3">
        <v>0.02</v>
      </c>
      <c r="D6" s="4">
        <v>7</v>
      </c>
      <c r="E6" s="4">
        <f t="shared" ref="E6:E8" si="1">B6*10</f>
        <v>20</v>
      </c>
      <c r="F6" s="4">
        <f t="shared" si="0"/>
        <v>0.2</v>
      </c>
      <c r="G6" s="4">
        <f t="shared" si="0"/>
        <v>70</v>
      </c>
    </row>
    <row r="7" spans="1:7">
      <c r="A7" s="2" t="s">
        <v>24</v>
      </c>
      <c r="B7" s="4">
        <v>0.1</v>
      </c>
      <c r="C7" s="3">
        <v>0.03</v>
      </c>
      <c r="D7" s="4">
        <v>5</v>
      </c>
      <c r="E7" s="4">
        <f t="shared" si="1"/>
        <v>1</v>
      </c>
      <c r="F7" s="4">
        <f t="shared" si="0"/>
        <v>0.3</v>
      </c>
      <c r="G7" s="4">
        <f t="shared" si="0"/>
        <v>50</v>
      </c>
    </row>
    <row r="8" spans="1:7">
      <c r="A8" s="2" t="s">
        <v>25</v>
      </c>
      <c r="B8" s="4">
        <v>0.1</v>
      </c>
      <c r="C8" s="3">
        <v>0.05</v>
      </c>
      <c r="D8" s="4">
        <v>7</v>
      </c>
      <c r="E8" s="4">
        <f t="shared" si="1"/>
        <v>1</v>
      </c>
      <c r="F8" s="4">
        <f t="shared" si="0"/>
        <v>0.5</v>
      </c>
      <c r="G8" s="4">
        <f t="shared" si="0"/>
        <v>70</v>
      </c>
    </row>
    <row r="9" spans="1:7">
      <c r="A9" s="2" t="s">
        <v>26</v>
      </c>
      <c r="B9" s="141">
        <f>SUM(B5:D8)</f>
        <v>61.67</v>
      </c>
      <c r="C9" s="141"/>
      <c r="D9" s="141"/>
      <c r="E9" s="142">
        <f>SUM(E5:G8)</f>
        <v>616.70000000000005</v>
      </c>
      <c r="F9" s="143"/>
      <c r="G9" s="144"/>
    </row>
  </sheetData>
  <mergeCells count="7">
    <mergeCell ref="B9:D9"/>
    <mergeCell ref="E9:G9"/>
    <mergeCell ref="A1:G1"/>
    <mergeCell ref="A2:A4"/>
    <mergeCell ref="B2:G2"/>
    <mergeCell ref="B3:D3"/>
    <mergeCell ref="E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L22" sqref="L22"/>
    </sheetView>
  </sheetViews>
  <sheetFormatPr defaultRowHeight="15.75"/>
  <cols>
    <col min="1" max="1" width="21" style="1" bestFit="1" customWidth="1"/>
    <col min="2" max="16384" width="9.140625" style="1"/>
  </cols>
  <sheetData>
    <row r="1" spans="1:8" ht="21.75" thickBot="1">
      <c r="A1" s="154" t="s">
        <v>0</v>
      </c>
      <c r="B1" s="154"/>
      <c r="C1" s="154"/>
      <c r="D1" s="154"/>
      <c r="E1" s="154"/>
      <c r="F1" s="154"/>
      <c r="G1" s="154"/>
      <c r="H1" s="154"/>
    </row>
    <row r="2" spans="1:8">
      <c r="A2" s="155" t="s">
        <v>1</v>
      </c>
      <c r="B2" s="157" t="s">
        <v>2</v>
      </c>
      <c r="C2" s="159" t="s">
        <v>3</v>
      </c>
      <c r="D2" s="159"/>
      <c r="E2" s="159"/>
      <c r="F2" s="160" t="s">
        <v>4</v>
      </c>
      <c r="G2" s="159"/>
      <c r="H2" s="161"/>
    </row>
    <row r="3" spans="1:8" ht="16.5" thickBot="1">
      <c r="A3" s="156"/>
      <c r="B3" s="158"/>
      <c r="C3" s="32" t="s">
        <v>5</v>
      </c>
      <c r="D3" s="33" t="s">
        <v>6</v>
      </c>
      <c r="E3" s="34" t="s">
        <v>7</v>
      </c>
      <c r="F3" s="35" t="s">
        <v>5</v>
      </c>
      <c r="G3" s="33" t="s">
        <v>6</v>
      </c>
      <c r="H3" s="36" t="s">
        <v>7</v>
      </c>
    </row>
    <row r="4" spans="1:8">
      <c r="A4" s="19" t="s">
        <v>8</v>
      </c>
      <c r="B4" s="23">
        <v>14</v>
      </c>
      <c r="C4" s="21">
        <v>198</v>
      </c>
      <c r="D4" s="16">
        <v>100</v>
      </c>
      <c r="E4" s="29">
        <v>35</v>
      </c>
      <c r="F4" s="37">
        <f>PRODUCT(C4*$B4)</f>
        <v>2772</v>
      </c>
      <c r="G4" s="39">
        <f>PRODUCT(D4*$B4)</f>
        <v>1400</v>
      </c>
      <c r="H4" s="40">
        <f>PRODUCT(E4*$B4)</f>
        <v>490</v>
      </c>
    </row>
    <row r="5" spans="1:8">
      <c r="A5" s="20" t="s">
        <v>9</v>
      </c>
      <c r="B5" s="24">
        <v>28</v>
      </c>
      <c r="C5" s="22">
        <v>15</v>
      </c>
      <c r="D5" s="2">
        <v>60</v>
      </c>
      <c r="E5" s="30">
        <v>15</v>
      </c>
      <c r="F5" s="15">
        <f t="shared" ref="F5:F10" si="0">PRODUCT(C5*$B5)</f>
        <v>420</v>
      </c>
      <c r="G5" s="17">
        <f t="shared" ref="G5:G10" si="1">PRODUCT(D5*$B5)</f>
        <v>1680</v>
      </c>
      <c r="H5" s="18">
        <f t="shared" ref="H5:H10" si="2">PRODUCT(E5*$B5)</f>
        <v>420</v>
      </c>
    </row>
    <row r="6" spans="1:8">
      <c r="A6" s="20" t="s">
        <v>10</v>
      </c>
      <c r="B6" s="24">
        <v>13</v>
      </c>
      <c r="C6" s="22">
        <v>150</v>
      </c>
      <c r="D6" s="2">
        <v>105</v>
      </c>
      <c r="E6" s="30">
        <v>56</v>
      </c>
      <c r="F6" s="15">
        <f t="shared" si="0"/>
        <v>1950</v>
      </c>
      <c r="G6" s="17">
        <f t="shared" si="1"/>
        <v>1365</v>
      </c>
      <c r="H6" s="18">
        <f t="shared" si="2"/>
        <v>728</v>
      </c>
    </row>
    <row r="7" spans="1:8">
      <c r="A7" s="20" t="s">
        <v>11</v>
      </c>
      <c r="B7" s="24">
        <v>13</v>
      </c>
      <c r="C7" s="22">
        <v>123</v>
      </c>
      <c r="D7" s="2">
        <v>58</v>
      </c>
      <c r="E7" s="30">
        <v>100</v>
      </c>
      <c r="F7" s="15">
        <f t="shared" si="0"/>
        <v>1599</v>
      </c>
      <c r="G7" s="17">
        <f t="shared" si="1"/>
        <v>754</v>
      </c>
      <c r="H7" s="18">
        <f t="shared" si="2"/>
        <v>1300</v>
      </c>
    </row>
    <row r="8" spans="1:8">
      <c r="A8" s="20" t="s">
        <v>12</v>
      </c>
      <c r="B8" s="24">
        <v>14</v>
      </c>
      <c r="C8" s="22">
        <v>60</v>
      </c>
      <c r="D8" s="2">
        <v>37</v>
      </c>
      <c r="E8" s="30">
        <v>20</v>
      </c>
      <c r="F8" s="15">
        <f t="shared" si="0"/>
        <v>840</v>
      </c>
      <c r="G8" s="17">
        <f t="shared" si="1"/>
        <v>518</v>
      </c>
      <c r="H8" s="18">
        <f t="shared" si="2"/>
        <v>280</v>
      </c>
    </row>
    <row r="9" spans="1:8">
      <c r="A9" s="20" t="s">
        <v>13</v>
      </c>
      <c r="B9" s="24">
        <v>18</v>
      </c>
      <c r="C9" s="22">
        <v>45</v>
      </c>
      <c r="D9" s="2">
        <v>45</v>
      </c>
      <c r="E9" s="30">
        <v>56</v>
      </c>
      <c r="F9" s="15">
        <f t="shared" si="0"/>
        <v>810</v>
      </c>
      <c r="G9" s="17">
        <f t="shared" si="1"/>
        <v>810</v>
      </c>
      <c r="H9" s="18">
        <f t="shared" si="2"/>
        <v>1008</v>
      </c>
    </row>
    <row r="10" spans="1:8" ht="16.5" thickBot="1">
      <c r="A10" s="25" t="s">
        <v>14</v>
      </c>
      <c r="B10" s="26">
        <v>12</v>
      </c>
      <c r="C10" s="27">
        <v>269</v>
      </c>
      <c r="D10" s="28">
        <v>149</v>
      </c>
      <c r="E10" s="31">
        <v>24</v>
      </c>
      <c r="F10" s="38">
        <f t="shared" si="0"/>
        <v>3228</v>
      </c>
      <c r="G10" s="41">
        <f t="shared" si="1"/>
        <v>1788</v>
      </c>
      <c r="H10" s="42">
        <f t="shared" si="2"/>
        <v>288</v>
      </c>
    </row>
    <row r="11" spans="1:8" ht="16.5" thickBot="1">
      <c r="A11" s="149" t="s">
        <v>50</v>
      </c>
      <c r="B11" s="150"/>
      <c r="C11" s="150"/>
      <c r="D11" s="150"/>
      <c r="E11" s="150"/>
      <c r="F11" s="151">
        <f>SUM(F4:H10)</f>
        <v>24448</v>
      </c>
      <c r="G11" s="152"/>
      <c r="H11" s="153"/>
    </row>
  </sheetData>
  <mergeCells count="7">
    <mergeCell ref="A11:E11"/>
    <mergeCell ref="F11:H11"/>
    <mergeCell ref="A1:H1"/>
    <mergeCell ref="A2:A3"/>
    <mergeCell ref="B2:B3"/>
    <mergeCell ref="C2:E2"/>
    <mergeCell ref="F2:H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D6" sqref="D6"/>
    </sheetView>
  </sheetViews>
  <sheetFormatPr defaultRowHeight="15"/>
  <cols>
    <col min="1" max="1" width="20.85546875" bestFit="1" customWidth="1"/>
    <col min="2" max="2" width="17.7109375" bestFit="1" customWidth="1"/>
    <col min="3" max="3" width="17.28515625" bestFit="1" customWidth="1"/>
    <col min="4" max="4" width="24.42578125" bestFit="1" customWidth="1"/>
    <col min="5" max="5" width="25.7109375" bestFit="1" customWidth="1"/>
  </cols>
  <sheetData>
    <row r="1" spans="1:5" ht="67.5" customHeight="1">
      <c r="A1" s="162" t="s">
        <v>51</v>
      </c>
      <c r="B1" s="162"/>
      <c r="C1" s="162"/>
      <c r="D1" s="162"/>
      <c r="E1" s="162"/>
    </row>
    <row r="2" spans="1:5">
      <c r="A2" s="163" t="s">
        <v>52</v>
      </c>
      <c r="B2" s="163" t="s">
        <v>53</v>
      </c>
      <c r="C2" s="164" t="s">
        <v>54</v>
      </c>
      <c r="D2" s="164"/>
      <c r="E2" s="163" t="s">
        <v>57</v>
      </c>
    </row>
    <row r="3" spans="1:5">
      <c r="A3" s="163"/>
      <c r="B3" s="163"/>
      <c r="C3" s="46" t="s">
        <v>55</v>
      </c>
      <c r="D3" s="46" t="s">
        <v>56</v>
      </c>
      <c r="E3" s="163"/>
    </row>
    <row r="4" spans="1:5">
      <c r="A4" s="46">
        <v>1</v>
      </c>
      <c r="B4" s="46">
        <v>2</v>
      </c>
      <c r="C4" s="46">
        <v>3</v>
      </c>
      <c r="D4" s="46">
        <v>4</v>
      </c>
      <c r="E4" s="46">
        <v>5</v>
      </c>
    </row>
    <row r="5" spans="1:5">
      <c r="A5" s="9" t="s">
        <v>58</v>
      </c>
      <c r="B5" s="9">
        <v>2998</v>
      </c>
      <c r="C5" s="9">
        <v>2998</v>
      </c>
      <c r="D5" s="9">
        <f>B5-C5</f>
        <v>0</v>
      </c>
      <c r="E5" s="46" t="s">
        <v>66</v>
      </c>
    </row>
    <row r="6" spans="1:5">
      <c r="A6" s="9" t="s">
        <v>59</v>
      </c>
      <c r="B6" s="9">
        <v>3000</v>
      </c>
      <c r="C6" s="9">
        <v>2998</v>
      </c>
      <c r="D6" s="9">
        <f t="shared" ref="D6:D8" si="0">B6-C6</f>
        <v>2</v>
      </c>
      <c r="E6" s="46" t="s">
        <v>67</v>
      </c>
    </row>
    <row r="7" spans="1:5">
      <c r="A7" s="9" t="s">
        <v>60</v>
      </c>
      <c r="B7" s="9">
        <v>860</v>
      </c>
      <c r="C7" s="9">
        <v>809</v>
      </c>
      <c r="D7" s="9">
        <f t="shared" si="0"/>
        <v>51</v>
      </c>
      <c r="E7" s="46" t="s">
        <v>67</v>
      </c>
    </row>
    <row r="8" spans="1:5">
      <c r="A8" s="9" t="s">
        <v>61</v>
      </c>
      <c r="B8" s="9">
        <v>5900</v>
      </c>
      <c r="C8" s="9">
        <v>5880</v>
      </c>
      <c r="D8" s="9">
        <f t="shared" si="0"/>
        <v>20</v>
      </c>
      <c r="E8" s="46" t="s">
        <v>68</v>
      </c>
    </row>
    <row r="9" spans="1:5">
      <c r="A9" s="9" t="s">
        <v>34</v>
      </c>
      <c r="B9" s="9">
        <f>SUM(B5:B8)</f>
        <v>12758</v>
      </c>
      <c r="C9" s="9">
        <f>SUM(C5:C8)</f>
        <v>12685</v>
      </c>
      <c r="D9" s="9">
        <f>SUM(D5:D8)</f>
        <v>73</v>
      </c>
      <c r="E9" s="9"/>
    </row>
    <row r="10" spans="1:5" ht="27" customHeight="1">
      <c r="A10" s="47" t="s">
        <v>62</v>
      </c>
      <c r="B10" s="48"/>
      <c r="C10" s="49"/>
      <c r="D10" s="50" t="s">
        <v>63</v>
      </c>
      <c r="E10" s="49" t="s">
        <v>64</v>
      </c>
    </row>
    <row r="11" spans="1:5">
      <c r="D11" s="45" t="s">
        <v>65</v>
      </c>
    </row>
  </sheetData>
  <mergeCells count="5">
    <mergeCell ref="A1:E1"/>
    <mergeCell ref="E2:E3"/>
    <mergeCell ref="C2:D2"/>
    <mergeCell ref="B2:B3"/>
    <mergeCell ref="A2: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F9" sqref="F9"/>
    </sheetView>
  </sheetViews>
  <sheetFormatPr defaultRowHeight="15"/>
  <cols>
    <col min="1" max="1" width="16.28515625" bestFit="1" customWidth="1"/>
    <col min="2" max="2" width="4.7109375" bestFit="1" customWidth="1"/>
    <col min="3" max="4" width="16.28515625" customWidth="1"/>
    <col min="5" max="5" width="15.28515625" customWidth="1"/>
    <col min="6" max="6" width="18.5703125" customWidth="1"/>
  </cols>
  <sheetData>
    <row r="1" spans="1:6" ht="23.25">
      <c r="A1" s="168" t="s">
        <v>69</v>
      </c>
      <c r="B1" s="168"/>
      <c r="C1" s="168"/>
      <c r="D1" s="168"/>
      <c r="E1" s="168"/>
      <c r="F1" s="168"/>
    </row>
    <row r="2" spans="1:6" ht="30.75" customHeight="1">
      <c r="A2" s="169" t="s">
        <v>70</v>
      </c>
      <c r="B2" s="170"/>
      <c r="C2" s="171" t="s">
        <v>71</v>
      </c>
      <c r="D2" s="171" t="s">
        <v>72</v>
      </c>
      <c r="E2" s="171" t="s">
        <v>73</v>
      </c>
      <c r="F2" s="171" t="s">
        <v>74</v>
      </c>
    </row>
    <row r="3" spans="1:6" ht="15.75">
      <c r="A3" s="52" t="s">
        <v>1</v>
      </c>
      <c r="B3" s="52" t="s">
        <v>75</v>
      </c>
      <c r="C3" s="171"/>
      <c r="D3" s="171"/>
      <c r="E3" s="171"/>
      <c r="F3" s="171"/>
    </row>
    <row r="4" spans="1:6">
      <c r="A4" s="53">
        <v>1</v>
      </c>
      <c r="B4" s="53">
        <v>2</v>
      </c>
      <c r="C4" s="53">
        <v>3</v>
      </c>
      <c r="D4" s="53">
        <v>4</v>
      </c>
      <c r="E4" s="53">
        <v>5</v>
      </c>
      <c r="F4" s="53">
        <v>6</v>
      </c>
    </row>
    <row r="5" spans="1:6">
      <c r="A5" s="46" t="s">
        <v>76</v>
      </c>
      <c r="B5" s="51" t="s">
        <v>84</v>
      </c>
      <c r="C5" s="9" t="s">
        <v>85</v>
      </c>
      <c r="D5" s="46">
        <v>1</v>
      </c>
      <c r="E5" s="46">
        <v>9800</v>
      </c>
      <c r="F5" s="46">
        <f>D5*E5</f>
        <v>9800</v>
      </c>
    </row>
    <row r="6" spans="1:6">
      <c r="A6" s="9"/>
      <c r="B6" s="9"/>
      <c r="C6" s="9" t="s">
        <v>86</v>
      </c>
      <c r="D6" s="46">
        <v>2</v>
      </c>
      <c r="E6" s="46">
        <v>8000</v>
      </c>
      <c r="F6" s="46">
        <f t="shared" ref="F6:F8" si="0">D6*E6</f>
        <v>16000</v>
      </c>
    </row>
    <row r="7" spans="1:6">
      <c r="A7" s="9"/>
      <c r="B7" s="9"/>
      <c r="C7" s="9" t="s">
        <v>87</v>
      </c>
      <c r="D7" s="46">
        <v>1</v>
      </c>
      <c r="E7" s="46">
        <v>1400</v>
      </c>
      <c r="F7" s="46">
        <f t="shared" si="0"/>
        <v>1400</v>
      </c>
    </row>
    <row r="8" spans="1:6">
      <c r="A8" s="46" t="s">
        <v>77</v>
      </c>
      <c r="B8" s="9"/>
      <c r="C8" s="9" t="s">
        <v>88</v>
      </c>
      <c r="D8" s="46">
        <v>2</v>
      </c>
      <c r="E8" s="46">
        <v>5800</v>
      </c>
      <c r="F8" s="46">
        <f t="shared" si="0"/>
        <v>11600</v>
      </c>
    </row>
    <row r="9" spans="1:6" ht="15.75">
      <c r="A9" s="165" t="s">
        <v>26</v>
      </c>
      <c r="B9" s="166"/>
      <c r="C9" s="167"/>
      <c r="D9" s="46">
        <f>SUM(D5:D8)</f>
        <v>6</v>
      </c>
      <c r="E9" s="9"/>
      <c r="F9" s="46">
        <f>SUM(F5:F8)</f>
        <v>38800</v>
      </c>
    </row>
    <row r="11" spans="1:6">
      <c r="A11" s="43" t="s">
        <v>78</v>
      </c>
      <c r="C11" s="43" t="s">
        <v>79</v>
      </c>
      <c r="F11" s="43" t="s">
        <v>80</v>
      </c>
    </row>
    <row r="12" spans="1:6">
      <c r="A12" s="45" t="s">
        <v>81</v>
      </c>
      <c r="C12" s="45" t="s">
        <v>82</v>
      </c>
      <c r="F12" s="45" t="s">
        <v>83</v>
      </c>
    </row>
  </sheetData>
  <mergeCells count="7">
    <mergeCell ref="A9:C9"/>
    <mergeCell ref="A1:F1"/>
    <mergeCell ref="A2:B2"/>
    <mergeCell ref="C2:C3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9" sqref="J9"/>
    </sheetView>
  </sheetViews>
  <sheetFormatPr defaultRowHeight="15"/>
  <cols>
    <col min="1" max="1" width="5.140625" customWidth="1"/>
    <col min="2" max="2" width="5.7109375" customWidth="1"/>
    <col min="3" max="3" width="3.7109375" bestFit="1" customWidth="1"/>
    <col min="4" max="4" width="13.7109375" bestFit="1" customWidth="1"/>
    <col min="5" max="5" width="14.28515625" bestFit="1" customWidth="1"/>
    <col min="6" max="6" width="3.7109375" bestFit="1" customWidth="1"/>
    <col min="7" max="7" width="19.7109375" bestFit="1" customWidth="1"/>
    <col min="8" max="8" width="15.28515625" bestFit="1" customWidth="1"/>
  </cols>
  <sheetData>
    <row r="1" spans="1:8" ht="24" customHeight="1">
      <c r="A1" s="175" t="s">
        <v>90</v>
      </c>
      <c r="B1" s="175" t="s">
        <v>91</v>
      </c>
      <c r="C1" s="163" t="s">
        <v>89</v>
      </c>
      <c r="D1" s="163"/>
      <c r="E1" s="163"/>
      <c r="F1" s="178" t="s">
        <v>92</v>
      </c>
      <c r="G1" s="179"/>
      <c r="H1" s="180"/>
    </row>
    <row r="2" spans="1:8" ht="34.5" customHeight="1">
      <c r="A2" s="175"/>
      <c r="B2" s="175"/>
      <c r="C2" s="181" t="s">
        <v>93</v>
      </c>
      <c r="D2" s="182"/>
      <c r="E2" s="183"/>
      <c r="F2" s="184" t="s">
        <v>94</v>
      </c>
      <c r="G2" s="185"/>
      <c r="H2" s="186"/>
    </row>
    <row r="3" spans="1:8">
      <c r="A3" s="175"/>
      <c r="B3" s="175"/>
      <c r="C3" s="176" t="s">
        <v>95</v>
      </c>
      <c r="D3" s="172" t="s">
        <v>96</v>
      </c>
      <c r="E3" s="9" t="s">
        <v>97</v>
      </c>
      <c r="F3" s="176" t="s">
        <v>95</v>
      </c>
      <c r="G3" s="172" t="s">
        <v>96</v>
      </c>
      <c r="H3" s="9" t="s">
        <v>98</v>
      </c>
    </row>
    <row r="4" spans="1:8" ht="24.75" customHeight="1">
      <c r="A4" s="175"/>
      <c r="B4" s="175"/>
      <c r="C4" s="177"/>
      <c r="D4" s="173"/>
      <c r="E4" s="44" t="s">
        <v>104</v>
      </c>
      <c r="F4" s="177"/>
      <c r="G4" s="173"/>
      <c r="H4" s="138" t="s">
        <v>248</v>
      </c>
    </row>
    <row r="5" spans="1:8" ht="15" customHeight="1">
      <c r="A5" s="174">
        <v>40330</v>
      </c>
      <c r="B5" s="175" t="s">
        <v>103</v>
      </c>
      <c r="C5" s="44">
        <v>1</v>
      </c>
      <c r="D5" s="44" t="s">
        <v>99</v>
      </c>
      <c r="E5" s="44" t="s">
        <v>100</v>
      </c>
      <c r="F5" s="44">
        <v>1</v>
      </c>
      <c r="G5" s="44" t="s">
        <v>101</v>
      </c>
      <c r="H5" s="44" t="s">
        <v>102</v>
      </c>
    </row>
    <row r="6" spans="1:8">
      <c r="A6" s="174"/>
      <c r="B6" s="175"/>
      <c r="C6" s="44">
        <v>2</v>
      </c>
      <c r="D6" s="44" t="s">
        <v>99</v>
      </c>
      <c r="E6" s="44" t="s">
        <v>100</v>
      </c>
      <c r="F6" s="44">
        <v>2</v>
      </c>
      <c r="G6" s="44" t="s">
        <v>101</v>
      </c>
      <c r="H6" s="44" t="s">
        <v>102</v>
      </c>
    </row>
    <row r="7" spans="1:8">
      <c r="A7" s="174"/>
      <c r="B7" s="175"/>
      <c r="C7" s="44">
        <v>3</v>
      </c>
      <c r="D7" s="44" t="s">
        <v>99</v>
      </c>
      <c r="E7" s="44" t="s">
        <v>100</v>
      </c>
      <c r="F7" s="44">
        <v>3</v>
      </c>
      <c r="G7" s="44" t="s">
        <v>101</v>
      </c>
      <c r="H7" s="44" t="s">
        <v>102</v>
      </c>
    </row>
    <row r="8" spans="1:8">
      <c r="A8" s="174"/>
      <c r="B8" s="175"/>
      <c r="C8" s="44">
        <v>4</v>
      </c>
      <c r="D8" s="44" t="s">
        <v>99</v>
      </c>
      <c r="E8" s="44" t="s">
        <v>100</v>
      </c>
      <c r="F8" s="44">
        <v>4</v>
      </c>
      <c r="G8" s="44" t="s">
        <v>101</v>
      </c>
      <c r="H8" s="44" t="s">
        <v>102</v>
      </c>
    </row>
    <row r="9" spans="1:8">
      <c r="A9" s="174"/>
      <c r="B9" s="175"/>
      <c r="C9" s="44">
        <v>5</v>
      </c>
      <c r="D9" s="44" t="s">
        <v>99</v>
      </c>
      <c r="E9" s="44" t="s">
        <v>100</v>
      </c>
      <c r="F9" s="44">
        <v>5</v>
      </c>
      <c r="G9" s="44" t="s">
        <v>101</v>
      </c>
      <c r="H9" s="44" t="s">
        <v>102</v>
      </c>
    </row>
    <row r="10" spans="1:8">
      <c r="A10" s="174"/>
      <c r="B10" s="175"/>
      <c r="C10" s="44">
        <v>6</v>
      </c>
      <c r="D10" s="44" t="s">
        <v>99</v>
      </c>
      <c r="E10" s="44" t="s">
        <v>100</v>
      </c>
      <c r="F10" s="44">
        <v>6</v>
      </c>
      <c r="G10" s="44" t="s">
        <v>101</v>
      </c>
      <c r="H10" s="44" t="s">
        <v>102</v>
      </c>
    </row>
    <row r="11" spans="1:8">
      <c r="A11" s="174"/>
      <c r="B11" s="175"/>
      <c r="C11" s="44">
        <v>7</v>
      </c>
      <c r="D11" s="44" t="s">
        <v>99</v>
      </c>
      <c r="E11" s="44" t="s">
        <v>100</v>
      </c>
      <c r="F11" s="44">
        <v>7</v>
      </c>
      <c r="G11" s="44" t="s">
        <v>101</v>
      </c>
      <c r="H11" s="44" t="s">
        <v>102</v>
      </c>
    </row>
  </sheetData>
  <mergeCells count="12">
    <mergeCell ref="G3:G4"/>
    <mergeCell ref="A5:A11"/>
    <mergeCell ref="B5:B11"/>
    <mergeCell ref="A1:A4"/>
    <mergeCell ref="B1:B4"/>
    <mergeCell ref="C1:E1"/>
    <mergeCell ref="C3:C4"/>
    <mergeCell ref="D3:D4"/>
    <mergeCell ref="F3:F4"/>
    <mergeCell ref="F1:H1"/>
    <mergeCell ref="C2:E2"/>
    <mergeCell ref="F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8" sqref="D8"/>
    </sheetView>
  </sheetViews>
  <sheetFormatPr defaultRowHeight="15"/>
  <cols>
    <col min="1" max="1" width="19.42578125" style="97" customWidth="1"/>
    <col min="2" max="6" width="11.85546875" style="97" customWidth="1"/>
    <col min="7" max="7" width="15.28515625" style="97" customWidth="1"/>
    <col min="8" max="16384" width="9.140625" style="97"/>
  </cols>
  <sheetData>
    <row r="1" spans="1:7" ht="18.75">
      <c r="A1" s="187" t="s">
        <v>157</v>
      </c>
      <c r="B1" s="187"/>
      <c r="C1" s="187"/>
      <c r="D1" s="187"/>
      <c r="E1" s="187"/>
      <c r="F1" s="187"/>
      <c r="G1" s="187"/>
    </row>
    <row r="2" spans="1:7">
      <c r="A2" s="188" t="s">
        <v>1</v>
      </c>
      <c r="B2" s="190" t="s">
        <v>3</v>
      </c>
      <c r="C2" s="191"/>
      <c r="D2" s="190" t="s">
        <v>2</v>
      </c>
      <c r="E2" s="191"/>
      <c r="F2" s="190" t="s">
        <v>43</v>
      </c>
      <c r="G2" s="191"/>
    </row>
    <row r="3" spans="1:7">
      <c r="A3" s="189"/>
      <c r="B3" s="98" t="s">
        <v>151</v>
      </c>
      <c r="C3" s="98" t="s">
        <v>152</v>
      </c>
      <c r="D3" s="98" t="s">
        <v>151</v>
      </c>
      <c r="E3" s="98" t="s">
        <v>152</v>
      </c>
      <c r="F3" s="98" t="s">
        <v>151</v>
      </c>
      <c r="G3" s="98" t="s">
        <v>152</v>
      </c>
    </row>
    <row r="4" spans="1:7">
      <c r="A4" s="99" t="s">
        <v>153</v>
      </c>
      <c r="B4" s="99">
        <v>200</v>
      </c>
      <c r="C4" s="99">
        <v>250</v>
      </c>
      <c r="D4" s="99">
        <v>25</v>
      </c>
      <c r="E4" s="99">
        <v>23</v>
      </c>
      <c r="F4" s="99">
        <f>B4*D4</f>
        <v>5000</v>
      </c>
      <c r="G4" s="99">
        <f>C4*E4</f>
        <v>5750</v>
      </c>
    </row>
    <row r="5" spans="1:7">
      <c r="A5" s="99" t="s">
        <v>154</v>
      </c>
      <c r="B5" s="99">
        <v>300</v>
      </c>
      <c r="C5" s="99">
        <v>320</v>
      </c>
      <c r="D5" s="99">
        <v>45</v>
      </c>
      <c r="E5" s="99">
        <v>35</v>
      </c>
      <c r="F5" s="99">
        <f t="shared" ref="F5:G7" si="0">B5*D5</f>
        <v>13500</v>
      </c>
      <c r="G5" s="99">
        <f t="shared" si="0"/>
        <v>11200</v>
      </c>
    </row>
    <row r="6" spans="1:7">
      <c r="A6" s="99" t="s">
        <v>155</v>
      </c>
      <c r="B6" s="99">
        <v>200</v>
      </c>
      <c r="C6" s="99">
        <v>400</v>
      </c>
      <c r="D6" s="99">
        <v>12</v>
      </c>
      <c r="E6" s="99">
        <v>10</v>
      </c>
      <c r="F6" s="99">
        <f t="shared" si="0"/>
        <v>2400</v>
      </c>
      <c r="G6" s="99">
        <f t="shared" si="0"/>
        <v>4000</v>
      </c>
    </row>
    <row r="7" spans="1:7">
      <c r="A7" s="99" t="s">
        <v>156</v>
      </c>
      <c r="B7" s="99">
        <v>1000</v>
      </c>
      <c r="C7" s="99">
        <v>1230</v>
      </c>
      <c r="D7" s="99">
        <v>15</v>
      </c>
      <c r="E7" s="99">
        <v>12</v>
      </c>
      <c r="F7" s="99">
        <f>B7*D7</f>
        <v>15000</v>
      </c>
      <c r="G7" s="99">
        <f t="shared" si="0"/>
        <v>14760</v>
      </c>
    </row>
    <row r="8" spans="1:7">
      <c r="A8" s="100" t="s">
        <v>26</v>
      </c>
      <c r="B8" s="99">
        <f t="shared" ref="B8:G8" si="1">SUM(B4:B7)</f>
        <v>1700</v>
      </c>
      <c r="C8" s="99">
        <f t="shared" si="1"/>
        <v>2200</v>
      </c>
      <c r="D8" s="99">
        <f t="shared" si="1"/>
        <v>97</v>
      </c>
      <c r="E8" s="99">
        <f t="shared" si="1"/>
        <v>80</v>
      </c>
      <c r="F8" s="99">
        <f t="shared" si="1"/>
        <v>35900</v>
      </c>
      <c r="G8" s="99">
        <f t="shared" si="1"/>
        <v>35710</v>
      </c>
    </row>
  </sheetData>
  <mergeCells count="5">
    <mergeCell ref="A1:G1"/>
    <mergeCell ref="A2:A3"/>
    <mergeCell ref="B2:C2"/>
    <mergeCell ref="D2:E2"/>
    <mergeCell ref="F2:G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4" sqref="F4"/>
    </sheetView>
  </sheetViews>
  <sheetFormatPr defaultRowHeight="15"/>
  <cols>
    <col min="1" max="1" width="9.140625" style="97"/>
    <col min="2" max="2" width="13" style="97" customWidth="1"/>
    <col min="3" max="4" width="13.140625" style="97" customWidth="1"/>
    <col min="5" max="5" width="12.140625" style="97" customWidth="1"/>
    <col min="6" max="6" width="11.5703125" style="101" customWidth="1"/>
    <col min="7" max="16384" width="9.140625" style="97"/>
  </cols>
  <sheetData>
    <row r="1" spans="1:6" ht="27" customHeight="1" thickBot="1">
      <c r="A1" s="192" t="s">
        <v>169</v>
      </c>
      <c r="B1" s="192"/>
      <c r="C1" s="192"/>
      <c r="D1" s="192"/>
      <c r="E1" s="192"/>
      <c r="F1" s="192"/>
    </row>
    <row r="2" spans="1:6" ht="32.25" customHeight="1" thickTop="1" thickBot="1">
      <c r="A2" s="193" t="s">
        <v>42</v>
      </c>
      <c r="B2" s="194" t="s">
        <v>158</v>
      </c>
      <c r="C2" s="193" t="s">
        <v>159</v>
      </c>
      <c r="D2" s="193"/>
      <c r="E2" s="193"/>
      <c r="F2" s="194" t="s">
        <v>160</v>
      </c>
    </row>
    <row r="3" spans="1:6" ht="43.5" customHeight="1" thickTop="1" thickBot="1">
      <c r="A3" s="193"/>
      <c r="B3" s="194"/>
      <c r="C3" s="102" t="s">
        <v>161</v>
      </c>
      <c r="D3" s="102" t="s">
        <v>162</v>
      </c>
      <c r="E3" s="102" t="s">
        <v>163</v>
      </c>
      <c r="F3" s="194"/>
    </row>
    <row r="4" spans="1:6" ht="20.25" customHeight="1" thickTop="1" thickBot="1">
      <c r="A4" s="103">
        <v>1</v>
      </c>
      <c r="B4" s="103" t="s">
        <v>164</v>
      </c>
      <c r="C4" s="103">
        <v>547</v>
      </c>
      <c r="D4" s="103">
        <v>433</v>
      </c>
      <c r="E4" s="103">
        <f>C4-D4</f>
        <v>114</v>
      </c>
      <c r="F4" s="104">
        <v>36882</v>
      </c>
    </row>
    <row r="5" spans="1:6" ht="20.25" customHeight="1" thickTop="1" thickBot="1">
      <c r="A5" s="103">
        <v>2</v>
      </c>
      <c r="B5" s="103" t="s">
        <v>165</v>
      </c>
      <c r="C5" s="103">
        <v>987</v>
      </c>
      <c r="D5" s="103">
        <v>768</v>
      </c>
      <c r="E5" s="103">
        <f t="shared" ref="E5:E7" si="0">C5-D5</f>
        <v>219</v>
      </c>
      <c r="F5" s="104">
        <v>36546</v>
      </c>
    </row>
    <row r="6" spans="1:6" ht="20.25" customHeight="1" thickTop="1" thickBot="1">
      <c r="A6" s="103">
        <v>3</v>
      </c>
      <c r="B6" s="103" t="s">
        <v>166</v>
      </c>
      <c r="C6" s="103">
        <v>123</v>
      </c>
      <c r="D6" s="103">
        <v>345</v>
      </c>
      <c r="E6" s="103">
        <f t="shared" si="0"/>
        <v>-222</v>
      </c>
      <c r="F6" s="104">
        <v>36569</v>
      </c>
    </row>
    <row r="7" spans="1:6" ht="20.25" customHeight="1" thickTop="1" thickBot="1">
      <c r="A7" s="103">
        <v>4</v>
      </c>
      <c r="B7" s="103" t="s">
        <v>167</v>
      </c>
      <c r="C7" s="103">
        <v>456</v>
      </c>
      <c r="D7" s="103">
        <v>322</v>
      </c>
      <c r="E7" s="103">
        <f t="shared" si="0"/>
        <v>134</v>
      </c>
      <c r="F7" s="104">
        <v>36540</v>
      </c>
    </row>
    <row r="8" spans="1:6" ht="20.25" customHeight="1" thickTop="1" thickBot="1">
      <c r="A8" s="103"/>
      <c r="B8" s="103" t="s">
        <v>168</v>
      </c>
      <c r="C8" s="103">
        <f>SUM(C4:C7)</f>
        <v>2113</v>
      </c>
      <c r="D8" s="103">
        <f t="shared" ref="D8:E8" si="1">SUM(D4:D7)</f>
        <v>1868</v>
      </c>
      <c r="E8" s="103">
        <f t="shared" si="1"/>
        <v>245</v>
      </c>
      <c r="F8" s="103"/>
    </row>
    <row r="9" spans="1:6" ht="15.75" thickTop="1"/>
  </sheetData>
  <mergeCells count="5">
    <mergeCell ref="A1:F1"/>
    <mergeCell ref="A2:A3"/>
    <mergeCell ref="B2:B3"/>
    <mergeCell ref="C2:E2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Диаграммы</vt:lpstr>
      </vt:variant>
      <vt:variant>
        <vt:i4>1</vt:i4>
      </vt:variant>
    </vt:vector>
  </HeadingPairs>
  <TitlesOfParts>
    <vt:vector size="22" baseType="lpstr">
      <vt:lpstr>Начало</vt:lpstr>
      <vt:lpstr>Зарплата</vt:lpstr>
      <vt:lpstr>Витамины</vt:lpstr>
      <vt:lpstr>Конфеты</vt:lpstr>
      <vt:lpstr>Сведения о документах</vt:lpstr>
      <vt:lpstr>Штатное раписание</vt:lpstr>
      <vt:lpstr>Расписание</vt:lpstr>
      <vt:lpstr>Пятёрочка</vt:lpstr>
      <vt:lpstr>Ведомость учёта поставок</vt:lpstr>
      <vt:lpstr>Прейскурант</vt:lpstr>
      <vt:lpstr>Выручка в валюте</vt:lpstr>
      <vt:lpstr>Таблица умножения</vt:lpstr>
      <vt:lpstr>Диаграмма по таблице</vt:lpstr>
      <vt:lpstr>Потребность</vt:lpstr>
      <vt:lpstr>Фактически</vt:lpstr>
      <vt:lpstr>Разница</vt:lpstr>
      <vt:lpstr>Табель</vt:lpstr>
      <vt:lpstr>Оплата за обучение</vt:lpstr>
      <vt:lpstr>Библиотека</vt:lpstr>
      <vt:lpstr>Статистика</vt:lpstr>
      <vt:lpstr>Постановка задачи</vt:lpstr>
      <vt:lpstr>Диаграмма по конфетам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2021-03-23T07:38:22Z</cp:lastPrinted>
  <dcterms:created xsi:type="dcterms:W3CDTF">2021-03-23T07:19:34Z</dcterms:created>
  <dcterms:modified xsi:type="dcterms:W3CDTF">2021-03-26T11:59:24Z</dcterms:modified>
</cp:coreProperties>
</file>